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2"/>
  <workbookPr codeName="ThisWorkbook" defaultThemeVersion="124226"/>
  <mc:AlternateContent xmlns:mc="http://schemas.openxmlformats.org/markup-compatibility/2006">
    <mc:Choice Requires="x15">
      <x15ac:absPath xmlns:x15ac="http://schemas.microsoft.com/office/spreadsheetml/2010/11/ac" url="C:\Users\wilcoxj\Desktop\RECENT\"/>
    </mc:Choice>
  </mc:AlternateContent>
  <xr:revisionPtr revIDLastSave="0" documentId="8_{48D3C4B8-9A3A-4803-9C8E-D394E49F7068}" xr6:coauthVersionLast="47" xr6:coauthVersionMax="47" xr10:uidLastSave="{00000000-0000-0000-0000-000000000000}"/>
  <bookViews>
    <workbookView xWindow="-108" yWindow="-108" windowWidth="23256" windowHeight="12576" tabRatio="942" firstSheet="1" activeTab="1" xr2:uid="{00000000-000D-0000-FFFF-FFFF00000000}"/>
  </bookViews>
  <sheets>
    <sheet name="Cover" sheetId="23" r:id="rId1"/>
    <sheet name="99" sheetId="1" r:id="rId2"/>
    <sheet name="13" sheetId="60" r:id="rId3"/>
    <sheet name="14" sheetId="61" r:id="rId4"/>
    <sheet name="Law" sheetId="62" r:id="rId5"/>
    <sheet name="26" sheetId="63" r:id="rId6"/>
    <sheet name="27" sheetId="64" r:id="rId7"/>
    <sheet name="40" sheetId="65" r:id="rId8"/>
    <sheet name="Den" sheetId="68" r:id="rId9"/>
    <sheet name="Med" sheetId="70" r:id="rId10"/>
    <sheet name="52" sheetId="66" r:id="rId11"/>
    <sheet name="90" sheetId="52" r:id="rId12"/>
    <sheet name="ErrRpt" sheetId="53" r:id="rId13"/>
    <sheet name="Age" sheetId="14" r:id="rId14"/>
    <sheet name="Res 1st-T" sheetId="15" r:id="rId15"/>
    <sheet name="Entry Class" sheetId="73" r:id="rId16"/>
    <sheet name="CH-CSU" sheetId="16" r:id="rId17"/>
    <sheet name="CH-UConn" sheetId="25" r:id="rId18"/>
    <sheet name="CH-Ind" sheetId="27" r:id="rId19"/>
    <sheet name="Resid" sheetId="19" r:id="rId20"/>
    <sheet name="Admit" sheetId="20" r:id="rId21"/>
    <sheet name="Transf" sheetId="40" r:id="rId22"/>
    <sheet name="FreshRet-4 YR" sheetId="72" r:id="rId23"/>
    <sheet name="StdntFacltyRatio" sheetId="76" r:id="rId24"/>
    <sheet name="Distance Ed" sheetId="74" r:id="rId25"/>
  </sheets>
  <definedNames>
    <definedName name="_xlnm.Print_Area" localSheetId="2">'13'!$A$1:$W$66</definedName>
    <definedName name="_xlnm.Print_Area" localSheetId="3">'14'!$A$1:$W$66</definedName>
    <definedName name="_xlnm.Print_Area" localSheetId="5">'26'!$A$1:$W$66</definedName>
    <definedName name="_xlnm.Print_Area" localSheetId="6">'27'!$A$1:$W$66</definedName>
    <definedName name="_xlnm.Print_Area" localSheetId="7">'40'!$A$1:$W$66</definedName>
    <definedName name="_xlnm.Print_Area" localSheetId="10">'52'!$A$1:$W$66</definedName>
    <definedName name="_xlnm.Print_Area" localSheetId="11">'90'!$A$1:$W$66</definedName>
    <definedName name="_xlnm.Print_Area" localSheetId="1">'99'!$A$1:$X$72</definedName>
    <definedName name="_xlnm.Print_Area" localSheetId="20">Admit!$A$8:$F$44</definedName>
    <definedName name="_xlnm.Print_Area" localSheetId="13">Age!$A$1:$L$55</definedName>
    <definedName name="_xlnm.Print_Area" localSheetId="16">'CH-CSU'!$A$1:$N$32</definedName>
    <definedName name="_xlnm.Print_Area" localSheetId="18">'CH-Ind'!$A$1:$N$33</definedName>
    <definedName name="_xlnm.Print_Area" localSheetId="17">'CH-UConn'!$A$1:$N$42</definedName>
    <definedName name="_xlnm.Print_Area" localSheetId="0">Cover!$A$1:$D$37</definedName>
    <definedName name="_xlnm.Print_Area" localSheetId="8">Den!$A$1:$W$66</definedName>
    <definedName name="_xlnm.Print_Area" localSheetId="24">'Distance Ed'!$A$1:$K$42</definedName>
    <definedName name="_xlnm.Print_Area" localSheetId="15">'Entry Class'!$A$1:$Q$41</definedName>
    <definedName name="_xlnm.Print_Area" localSheetId="12">ErrRpt!$A$1:$W$66</definedName>
    <definedName name="_xlnm.Print_Area" localSheetId="22">'FreshRet-4 YR'!$A$1:$G$43</definedName>
    <definedName name="_xlnm.Print_Area" localSheetId="4">Law!$A$1:$W$66</definedName>
    <definedName name="_xlnm.Print_Area" localSheetId="9">Med!$A$1:$W$66</definedName>
    <definedName name="_xlnm.Print_Area" localSheetId="14">'Res 1st-T'!$A$1:$E$84</definedName>
    <definedName name="_xlnm.Print_Area" localSheetId="19">Resid!$A$1:$H$27</definedName>
    <definedName name="_xlnm.Print_Area" localSheetId="23">StdntFacltyRatio!$A$1:$K$16</definedName>
    <definedName name="_xlnm.Print_Area" localSheetId="21">Transf!$A$1:$K$47</definedName>
    <definedName name="_xlnm.Print_Titles" localSheetId="14">'Res 1st-T'!$14:$14</definedName>
    <definedName name="_xlnm.Print_Titles" localSheetId="21">Transf!$1:$4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40" l="1"/>
  <c r="A6" i="23"/>
  <c r="J41" i="74"/>
  <c r="H41" i="74"/>
  <c r="F41" i="74"/>
  <c r="J22" i="74"/>
  <c r="H22" i="74"/>
  <c r="F22" i="74"/>
  <c r="U62" i="66"/>
  <c r="U63" i="66"/>
  <c r="U64" i="66"/>
  <c r="Q26" i="1"/>
  <c r="Q26" i="60"/>
  <c r="Q26" i="61"/>
  <c r="Q26" i="63"/>
  <c r="Q26" i="64"/>
  <c r="Q26" i="65"/>
  <c r="Q26" i="66"/>
  <c r="Q19" i="52"/>
  <c r="Q18" i="52"/>
  <c r="Q35" i="1"/>
  <c r="Q56" i="1"/>
  <c r="Q65" i="1"/>
  <c r="Q66" i="1"/>
  <c r="Q35" i="60"/>
  <c r="Q65" i="60"/>
  <c r="Q56" i="60"/>
  <c r="Q35" i="61"/>
  <c r="Q65" i="61"/>
  <c r="Q56" i="61"/>
  <c r="Q66" i="61" s="1"/>
  <c r="Q35" i="62"/>
  <c r="Q65" i="62"/>
  <c r="Q35" i="63"/>
  <c r="Q56" i="63"/>
  <c r="Q65" i="63"/>
  <c r="Q35" i="64"/>
  <c r="Q56" i="64"/>
  <c r="Q65" i="64"/>
  <c r="Q35" i="65"/>
  <c r="Q56" i="65"/>
  <c r="Q65" i="65"/>
  <c r="Q66" i="65"/>
  <c r="Q35" i="68"/>
  <c r="Q65" i="68"/>
  <c r="Q35" i="70"/>
  <c r="Q65" i="70"/>
  <c r="Q35" i="66"/>
  <c r="Q56" i="66"/>
  <c r="Q65" i="66"/>
  <c r="Q25" i="52"/>
  <c r="Q25" i="53"/>
  <c r="Q24" i="52"/>
  <c r="Q23" i="52"/>
  <c r="Q23" i="53"/>
  <c r="Q22" i="52"/>
  <c r="Q21" i="52"/>
  <c r="Q21" i="53"/>
  <c r="Q34" i="52"/>
  <c r="Q34" i="53"/>
  <c r="Q33" i="52"/>
  <c r="Q32" i="52"/>
  <c r="Q32" i="53"/>
  <c r="Q49" i="52"/>
  <c r="Q49" i="53"/>
  <c r="Q48" i="52"/>
  <c r="Q55" i="52"/>
  <c r="Q54" i="52"/>
  <c r="Q54" i="53"/>
  <c r="Q53" i="52"/>
  <c r="Q52" i="52"/>
  <c r="Q52" i="53"/>
  <c r="Q51" i="52"/>
  <c r="Q65" i="52"/>
  <c r="Q65" i="53"/>
  <c r="Q64" i="52"/>
  <c r="Q63" i="52"/>
  <c r="Q63" i="53"/>
  <c r="Q62" i="52"/>
  <c r="R26" i="1"/>
  <c r="R26" i="60"/>
  <c r="R26" i="61"/>
  <c r="R26" i="63"/>
  <c r="R26" i="64"/>
  <c r="R26" i="65"/>
  <c r="R26" i="66"/>
  <c r="R19" i="52"/>
  <c r="R19" i="53"/>
  <c r="R18" i="52"/>
  <c r="R18" i="53"/>
  <c r="R35" i="1"/>
  <c r="R56" i="1"/>
  <c r="R65" i="1"/>
  <c r="R66" i="1" s="1"/>
  <c r="R35" i="60"/>
  <c r="R65" i="60"/>
  <c r="R56" i="60"/>
  <c r="R66" i="60"/>
  <c r="R35" i="61"/>
  <c r="R65" i="61"/>
  <c r="R56" i="61"/>
  <c r="R66" i="61" s="1"/>
  <c r="R35" i="62"/>
  <c r="R65" i="62"/>
  <c r="R35" i="63"/>
  <c r="R56" i="63"/>
  <c r="R65" i="63"/>
  <c r="R35" i="64"/>
  <c r="R56" i="64"/>
  <c r="R65" i="64"/>
  <c r="R66" i="64" s="1"/>
  <c r="R35" i="65"/>
  <c r="R56" i="65"/>
  <c r="R65" i="65"/>
  <c r="R66" i="65"/>
  <c r="R35" i="68"/>
  <c r="R65" i="68"/>
  <c r="R35" i="70"/>
  <c r="R65" i="70"/>
  <c r="R35" i="66"/>
  <c r="R56" i="66"/>
  <c r="R65" i="66"/>
  <c r="R66" i="66"/>
  <c r="R25" i="52"/>
  <c r="R25" i="53"/>
  <c r="R24" i="52"/>
  <c r="R23" i="52"/>
  <c r="R23" i="53"/>
  <c r="R22" i="52"/>
  <c r="R21" i="52"/>
  <c r="R21" i="53"/>
  <c r="R34" i="52"/>
  <c r="R33" i="52"/>
  <c r="R33" i="53"/>
  <c r="R32" i="52"/>
  <c r="R32" i="53"/>
  <c r="R49" i="52"/>
  <c r="R48" i="52"/>
  <c r="R55" i="52"/>
  <c r="R55" i="53"/>
  <c r="R54" i="52"/>
  <c r="R54" i="53"/>
  <c r="R53" i="52"/>
  <c r="R52" i="52"/>
  <c r="R52" i="53"/>
  <c r="R51" i="52"/>
  <c r="R51" i="53"/>
  <c r="R64" i="52"/>
  <c r="R63" i="52"/>
  <c r="R63" i="53"/>
  <c r="R62" i="52"/>
  <c r="R62" i="53"/>
  <c r="S26" i="1"/>
  <c r="S26" i="60"/>
  <c r="S26" i="61"/>
  <c r="S26" i="63"/>
  <c r="S26" i="64"/>
  <c r="S26" i="65"/>
  <c r="S26" i="66"/>
  <c r="S19" i="52"/>
  <c r="S19" i="53"/>
  <c r="S18" i="52"/>
  <c r="S18" i="53"/>
  <c r="S35" i="1"/>
  <c r="S56" i="1"/>
  <c r="S65" i="1"/>
  <c r="S35" i="60"/>
  <c r="S65" i="60"/>
  <c r="S56" i="60"/>
  <c r="S35" i="61"/>
  <c r="S65" i="61"/>
  <c r="S56" i="61"/>
  <c r="S66" i="61"/>
  <c r="S35" i="62"/>
  <c r="S65" i="62"/>
  <c r="S35" i="63"/>
  <c r="S56" i="63"/>
  <c r="S65" i="63"/>
  <c r="S35" i="64"/>
  <c r="S56" i="64"/>
  <c r="S65" i="64"/>
  <c r="S35" i="65"/>
  <c r="S56" i="65"/>
  <c r="S65" i="65"/>
  <c r="S66" i="65" s="1"/>
  <c r="S35" i="68"/>
  <c r="S65" i="68"/>
  <c r="S35" i="70"/>
  <c r="S65" i="70"/>
  <c r="S35" i="66"/>
  <c r="S56" i="66"/>
  <c r="S65" i="66"/>
  <c r="S25" i="52"/>
  <c r="S25" i="53"/>
  <c r="S24" i="52"/>
  <c r="S24" i="53"/>
  <c r="S23" i="52"/>
  <c r="S23" i="53"/>
  <c r="S22" i="52"/>
  <c r="S22" i="53"/>
  <c r="S21" i="52"/>
  <c r="S21" i="53"/>
  <c r="S34" i="52"/>
  <c r="S34" i="53"/>
  <c r="S33" i="52"/>
  <c r="S33" i="53"/>
  <c r="S32" i="52"/>
  <c r="S32" i="53"/>
  <c r="S49" i="52"/>
  <c r="S49" i="53"/>
  <c r="S48" i="52"/>
  <c r="S48" i="53"/>
  <c r="S55" i="52"/>
  <c r="S55" i="53"/>
  <c r="S54" i="52"/>
  <c r="S54" i="53"/>
  <c r="S53" i="52"/>
  <c r="S53" i="53"/>
  <c r="S52" i="52"/>
  <c r="S52" i="53"/>
  <c r="S51" i="52"/>
  <c r="S51" i="53"/>
  <c r="S64" i="52"/>
  <c r="S63" i="52"/>
  <c r="S63" i="53"/>
  <c r="S62" i="52"/>
  <c r="S62" i="53"/>
  <c r="T26" i="1"/>
  <c r="T26" i="60"/>
  <c r="T26" i="61"/>
  <c r="T26" i="63"/>
  <c r="T26" i="64"/>
  <c r="T26" i="65"/>
  <c r="T26" i="66"/>
  <c r="T19" i="52"/>
  <c r="T19" i="53"/>
  <c r="T18" i="52"/>
  <c r="T18" i="53"/>
  <c r="T35" i="1"/>
  <c r="T56" i="1"/>
  <c r="T65" i="1"/>
  <c r="T35" i="60"/>
  <c r="T65" i="60"/>
  <c r="T56" i="60"/>
  <c r="T35" i="61"/>
  <c r="T65" i="61"/>
  <c r="T56" i="61"/>
  <c r="T66" i="61" s="1"/>
  <c r="T35" i="62"/>
  <c r="T65" i="62"/>
  <c r="T35" i="63"/>
  <c r="T56" i="63"/>
  <c r="T65" i="63"/>
  <c r="T35" i="64"/>
  <c r="T56" i="64"/>
  <c r="T65" i="64"/>
  <c r="T35" i="65"/>
  <c r="T56" i="65"/>
  <c r="T65" i="65"/>
  <c r="T66" i="65"/>
  <c r="T35" i="68"/>
  <c r="T65" i="68"/>
  <c r="T35" i="70"/>
  <c r="T65" i="70"/>
  <c r="T35" i="66"/>
  <c r="T56" i="66"/>
  <c r="T65" i="66"/>
  <c r="T66" i="66" s="1"/>
  <c r="T25" i="52"/>
  <c r="T25" i="53"/>
  <c r="T24" i="52"/>
  <c r="T23" i="52"/>
  <c r="T23" i="53"/>
  <c r="T22" i="52"/>
  <c r="T22" i="53"/>
  <c r="T21" i="52"/>
  <c r="T21" i="53"/>
  <c r="T34" i="52"/>
  <c r="T33" i="52"/>
  <c r="T32" i="52"/>
  <c r="T32" i="53"/>
  <c r="T49" i="52"/>
  <c r="T49" i="53"/>
  <c r="T48" i="52"/>
  <c r="T48" i="53"/>
  <c r="T55" i="52"/>
  <c r="T55" i="53"/>
  <c r="T54" i="52"/>
  <c r="T54" i="53"/>
  <c r="T53" i="52"/>
  <c r="T53" i="53"/>
  <c r="T52" i="52"/>
  <c r="T52" i="53"/>
  <c r="T51" i="52"/>
  <c r="T51" i="53"/>
  <c r="T64" i="52"/>
  <c r="T64" i="53"/>
  <c r="T63" i="52"/>
  <c r="T63" i="53"/>
  <c r="T62" i="52"/>
  <c r="T62" i="53"/>
  <c r="Q62" i="53"/>
  <c r="Q64" i="53"/>
  <c r="R64" i="53"/>
  <c r="S64" i="53"/>
  <c r="Q51" i="53"/>
  <c r="Q53" i="53"/>
  <c r="R53" i="53"/>
  <c r="Q55" i="53"/>
  <c r="Q48" i="53"/>
  <c r="R48" i="53"/>
  <c r="R49" i="53"/>
  <c r="Q33" i="53"/>
  <c r="T33" i="53"/>
  <c r="R34" i="53"/>
  <c r="T34" i="53"/>
  <c r="Q22" i="53"/>
  <c r="R22" i="53"/>
  <c r="Q24" i="53"/>
  <c r="R24" i="53"/>
  <c r="T24" i="53"/>
  <c r="Q18" i="53"/>
  <c r="Q19" i="53"/>
  <c r="D26" i="60"/>
  <c r="D35" i="60"/>
  <c r="D56" i="60"/>
  <c r="D65" i="60"/>
  <c r="D66" i="60"/>
  <c r="D26" i="61"/>
  <c r="D35" i="61"/>
  <c r="D56" i="61"/>
  <c r="D65" i="61"/>
  <c r="D35" i="62"/>
  <c r="D65" i="62"/>
  <c r="D26" i="63"/>
  <c r="D35" i="63"/>
  <c r="D56" i="63"/>
  <c r="D65" i="63"/>
  <c r="D26" i="64"/>
  <c r="D35" i="64"/>
  <c r="D56" i="64"/>
  <c r="D65" i="64"/>
  <c r="D26" i="65"/>
  <c r="D35" i="65"/>
  <c r="D56" i="65"/>
  <c r="D65" i="65"/>
  <c r="D35" i="68"/>
  <c r="D65" i="68"/>
  <c r="D35" i="70"/>
  <c r="D65" i="70"/>
  <c r="D26" i="66"/>
  <c r="D35" i="66"/>
  <c r="D56" i="66"/>
  <c r="D65" i="66"/>
  <c r="D26" i="1"/>
  <c r="D35" i="1"/>
  <c r="D35" i="52"/>
  <c r="D56" i="1"/>
  <c r="D65" i="1"/>
  <c r="F26" i="60"/>
  <c r="F35" i="60"/>
  <c r="F56" i="60"/>
  <c r="F65" i="60"/>
  <c r="F26" i="61"/>
  <c r="F35" i="61"/>
  <c r="F56" i="61"/>
  <c r="F65" i="61"/>
  <c r="F35" i="62"/>
  <c r="F65" i="62"/>
  <c r="F26" i="63"/>
  <c r="F35" i="63"/>
  <c r="F56" i="63"/>
  <c r="F65" i="63"/>
  <c r="F26" i="64"/>
  <c r="F35" i="64"/>
  <c r="F56" i="64"/>
  <c r="F65" i="64"/>
  <c r="F26" i="65"/>
  <c r="F35" i="65"/>
  <c r="F56" i="65"/>
  <c r="F65" i="65"/>
  <c r="F66" i="65"/>
  <c r="F35" i="68"/>
  <c r="F65" i="68"/>
  <c r="F35" i="70"/>
  <c r="F65" i="70"/>
  <c r="F26" i="66"/>
  <c r="F35" i="66"/>
  <c r="F56" i="66"/>
  <c r="F65" i="66"/>
  <c r="F26" i="1"/>
  <c r="F35" i="1"/>
  <c r="F56" i="1"/>
  <c r="F65" i="1"/>
  <c r="H26" i="60"/>
  <c r="H35" i="60"/>
  <c r="H56" i="60"/>
  <c r="H65" i="60"/>
  <c r="H66" i="60" s="1"/>
  <c r="H26" i="61"/>
  <c r="H35" i="61"/>
  <c r="H56" i="61"/>
  <c r="H65" i="61"/>
  <c r="H35" i="62"/>
  <c r="H65" i="62"/>
  <c r="H26" i="63"/>
  <c r="H35" i="63"/>
  <c r="H56" i="63"/>
  <c r="H65" i="63"/>
  <c r="H66" i="63"/>
  <c r="H26" i="64"/>
  <c r="H35" i="64"/>
  <c r="H56" i="64"/>
  <c r="H65" i="64"/>
  <c r="H66" i="64"/>
  <c r="H26" i="65"/>
  <c r="H35" i="65"/>
  <c r="H56" i="65"/>
  <c r="H65" i="65"/>
  <c r="H66" i="65" s="1"/>
  <c r="H35" i="68"/>
  <c r="H65" i="68"/>
  <c r="H35" i="70"/>
  <c r="H65" i="70"/>
  <c r="H26" i="66"/>
  <c r="H35" i="66"/>
  <c r="H56" i="66"/>
  <c r="H65" i="66"/>
  <c r="H26" i="1"/>
  <c r="H35" i="1"/>
  <c r="H35" i="52"/>
  <c r="H35" i="53"/>
  <c r="H56" i="1"/>
  <c r="H65" i="1"/>
  <c r="J26" i="60"/>
  <c r="J35" i="60"/>
  <c r="J56" i="60"/>
  <c r="J65" i="60"/>
  <c r="J26" i="61"/>
  <c r="J35" i="61"/>
  <c r="J56" i="61"/>
  <c r="J65" i="61"/>
  <c r="J35" i="62"/>
  <c r="J65" i="62"/>
  <c r="J26" i="63"/>
  <c r="J35" i="63"/>
  <c r="J56" i="63"/>
  <c r="J65" i="63"/>
  <c r="J26" i="64"/>
  <c r="J35" i="64"/>
  <c r="J56" i="64"/>
  <c r="J65" i="64"/>
  <c r="J26" i="65"/>
  <c r="J35" i="65"/>
  <c r="J56" i="65"/>
  <c r="J65" i="65"/>
  <c r="J66" i="65" s="1"/>
  <c r="J35" i="68"/>
  <c r="J65" i="68"/>
  <c r="J35" i="70"/>
  <c r="J65" i="70"/>
  <c r="J26" i="66"/>
  <c r="J35" i="66"/>
  <c r="J56" i="66"/>
  <c r="J65" i="66"/>
  <c r="J26" i="1"/>
  <c r="J35" i="1"/>
  <c r="J35" i="52" s="1"/>
  <c r="J56" i="1"/>
  <c r="J65" i="1"/>
  <c r="L26" i="60"/>
  <c r="L35" i="60"/>
  <c r="L56" i="60"/>
  <c r="L65" i="60"/>
  <c r="L26" i="61"/>
  <c r="L35" i="61"/>
  <c r="L56" i="61"/>
  <c r="L65" i="61"/>
  <c r="L35" i="62"/>
  <c r="L65" i="62"/>
  <c r="L26" i="63"/>
  <c r="L35" i="63"/>
  <c r="L56" i="63"/>
  <c r="L65" i="63"/>
  <c r="L26" i="64"/>
  <c r="L35" i="64"/>
  <c r="L56" i="64"/>
  <c r="L65" i="64"/>
  <c r="L26" i="65"/>
  <c r="L35" i="65"/>
  <c r="L56" i="65"/>
  <c r="L65" i="65"/>
  <c r="L35" i="68"/>
  <c r="L65" i="68"/>
  <c r="L35" i="70"/>
  <c r="L65" i="70"/>
  <c r="L26" i="66"/>
  <c r="L35" i="66"/>
  <c r="L56" i="66"/>
  <c r="L65" i="66"/>
  <c r="L26" i="1"/>
  <c r="L35" i="1"/>
  <c r="L56" i="1"/>
  <c r="L65" i="1"/>
  <c r="N26" i="60"/>
  <c r="N35" i="60"/>
  <c r="N56" i="60"/>
  <c r="N65" i="60"/>
  <c r="N26" i="61"/>
  <c r="N35" i="61"/>
  <c r="N56" i="61"/>
  <c r="N65" i="61"/>
  <c r="N35" i="62"/>
  <c r="N65" i="62"/>
  <c r="N26" i="63"/>
  <c r="N35" i="63"/>
  <c r="N56" i="63"/>
  <c r="N65" i="63"/>
  <c r="N26" i="64"/>
  <c r="N35" i="64"/>
  <c r="N56" i="64"/>
  <c r="N65" i="64"/>
  <c r="N26" i="65"/>
  <c r="N35" i="65"/>
  <c r="N56" i="65"/>
  <c r="N65" i="65"/>
  <c r="N35" i="68"/>
  <c r="N65" i="68"/>
  <c r="N35" i="70"/>
  <c r="N65" i="70"/>
  <c r="N26" i="66"/>
  <c r="N35" i="66"/>
  <c r="N56" i="66"/>
  <c r="N65" i="66"/>
  <c r="N26" i="1"/>
  <c r="N35" i="1"/>
  <c r="N56" i="1"/>
  <c r="N65" i="1"/>
  <c r="P26" i="60"/>
  <c r="P35" i="60"/>
  <c r="P56" i="60"/>
  <c r="P65" i="60"/>
  <c r="P66" i="60"/>
  <c r="P26" i="61"/>
  <c r="P35" i="61"/>
  <c r="P56" i="61"/>
  <c r="P65" i="61"/>
  <c r="P66" i="61"/>
  <c r="P35" i="62"/>
  <c r="P65" i="62"/>
  <c r="P26" i="63"/>
  <c r="P35" i="63"/>
  <c r="P56" i="63"/>
  <c r="P65" i="63"/>
  <c r="P66" i="63" s="1"/>
  <c r="P26" i="64"/>
  <c r="P35" i="64"/>
  <c r="P56" i="64"/>
  <c r="P65" i="64"/>
  <c r="P26" i="65"/>
  <c r="P35" i="65"/>
  <c r="V35" i="65"/>
  <c r="P56" i="65"/>
  <c r="P65" i="65"/>
  <c r="P66" i="65" s="1"/>
  <c r="P35" i="68"/>
  <c r="P65" i="68"/>
  <c r="P35" i="70"/>
  <c r="P65" i="70"/>
  <c r="P26" i="66"/>
  <c r="P35" i="66"/>
  <c r="P56" i="66"/>
  <c r="P65" i="66"/>
  <c r="P26" i="1"/>
  <c r="P35" i="1"/>
  <c r="P35" i="52"/>
  <c r="P35" i="53"/>
  <c r="P56" i="1"/>
  <c r="P65" i="1"/>
  <c r="C26" i="60"/>
  <c r="C35" i="60"/>
  <c r="C56" i="60"/>
  <c r="C65" i="60"/>
  <c r="C26" i="61"/>
  <c r="C35" i="61"/>
  <c r="C56" i="61"/>
  <c r="C65" i="61"/>
  <c r="C66" i="61"/>
  <c r="C35" i="62"/>
  <c r="C65" i="62"/>
  <c r="C26" i="63"/>
  <c r="C35" i="63"/>
  <c r="C56" i="63"/>
  <c r="C65" i="63"/>
  <c r="C66" i="63"/>
  <c r="C26" i="64"/>
  <c r="C35" i="64"/>
  <c r="C56" i="64"/>
  <c r="C65" i="64"/>
  <c r="C66" i="64"/>
  <c r="C26" i="65"/>
  <c r="C35" i="65"/>
  <c r="C56" i="65"/>
  <c r="C65" i="65"/>
  <c r="C66" i="65"/>
  <c r="C35" i="68"/>
  <c r="C65" i="68"/>
  <c r="C35" i="70"/>
  <c r="C65" i="70"/>
  <c r="C26" i="66"/>
  <c r="C35" i="66"/>
  <c r="C56" i="66"/>
  <c r="C65" i="66"/>
  <c r="C66" i="66" s="1"/>
  <c r="C26" i="1"/>
  <c r="C35" i="1"/>
  <c r="C35" i="52"/>
  <c r="C35" i="53"/>
  <c r="C56" i="1"/>
  <c r="C65" i="1"/>
  <c r="E26" i="60"/>
  <c r="E35" i="60"/>
  <c r="E56" i="60"/>
  <c r="E65" i="60"/>
  <c r="E26" i="61"/>
  <c r="E35" i="61"/>
  <c r="E56" i="61"/>
  <c r="E65" i="61"/>
  <c r="E35" i="62"/>
  <c r="E65" i="62"/>
  <c r="E26" i="63"/>
  <c r="E35" i="63"/>
  <c r="E56" i="63"/>
  <c r="E65" i="63"/>
  <c r="E66" i="63" s="1"/>
  <c r="E26" i="64"/>
  <c r="E35" i="64"/>
  <c r="E56" i="64"/>
  <c r="E65" i="64"/>
  <c r="E66" i="64"/>
  <c r="E26" i="65"/>
  <c r="E35" i="65"/>
  <c r="E56" i="65"/>
  <c r="E65" i="65"/>
  <c r="E35" i="68"/>
  <c r="E65" i="68"/>
  <c r="E35" i="70"/>
  <c r="E65" i="70"/>
  <c r="E26" i="66"/>
  <c r="E35" i="66"/>
  <c r="E56" i="66"/>
  <c r="E65" i="66"/>
  <c r="E26" i="1"/>
  <c r="E35" i="1"/>
  <c r="E56" i="1"/>
  <c r="E65" i="1"/>
  <c r="G26" i="60"/>
  <c r="G35" i="60"/>
  <c r="G56" i="60"/>
  <c r="G65" i="60"/>
  <c r="G66" i="60" s="1"/>
  <c r="G26" i="61"/>
  <c r="G35" i="61"/>
  <c r="G56" i="61"/>
  <c r="G65" i="61"/>
  <c r="G35" i="62"/>
  <c r="G65" i="62"/>
  <c r="G26" i="63"/>
  <c r="G35" i="63"/>
  <c r="G56" i="63"/>
  <c r="G65" i="63"/>
  <c r="G26" i="64"/>
  <c r="G35" i="64"/>
  <c r="G56" i="64"/>
  <c r="G65" i="64"/>
  <c r="G26" i="65"/>
  <c r="G35" i="65"/>
  <c r="G56" i="65"/>
  <c r="G65" i="65"/>
  <c r="G66" i="65"/>
  <c r="G35" i="68"/>
  <c r="G65" i="68"/>
  <c r="G35" i="70"/>
  <c r="G65" i="70"/>
  <c r="G26" i="66"/>
  <c r="G35" i="66"/>
  <c r="G56" i="66"/>
  <c r="G65" i="66"/>
  <c r="G66" i="66"/>
  <c r="G26" i="1"/>
  <c r="G35" i="1"/>
  <c r="G56" i="1"/>
  <c r="G65" i="1"/>
  <c r="I26" i="60"/>
  <c r="I35" i="60"/>
  <c r="I56" i="60"/>
  <c r="I65" i="60"/>
  <c r="I66" i="60" s="1"/>
  <c r="I26" i="61"/>
  <c r="I35" i="61"/>
  <c r="I56" i="61"/>
  <c r="I65" i="61"/>
  <c r="I66" i="61" s="1"/>
  <c r="I35" i="62"/>
  <c r="I65" i="62"/>
  <c r="I26" i="63"/>
  <c r="I35" i="63"/>
  <c r="I56" i="63"/>
  <c r="I65" i="63"/>
  <c r="I66" i="63" s="1"/>
  <c r="I26" i="64"/>
  <c r="I35" i="64"/>
  <c r="I56" i="64"/>
  <c r="I65" i="64"/>
  <c r="I66" i="64"/>
  <c r="I26" i="65"/>
  <c r="I35" i="65"/>
  <c r="I56" i="65"/>
  <c r="I65" i="65"/>
  <c r="I66" i="65" s="1"/>
  <c r="I35" i="68"/>
  <c r="I65" i="68"/>
  <c r="I35" i="70"/>
  <c r="I65" i="70"/>
  <c r="I26" i="66"/>
  <c r="I35" i="66"/>
  <c r="I56" i="66"/>
  <c r="I65" i="66"/>
  <c r="I26" i="1"/>
  <c r="I35" i="1"/>
  <c r="I56" i="1"/>
  <c r="I65" i="1"/>
  <c r="K26" i="60"/>
  <c r="K35" i="60"/>
  <c r="K56" i="60"/>
  <c r="K65" i="60"/>
  <c r="K26" i="61"/>
  <c r="K35" i="61"/>
  <c r="K56" i="61"/>
  <c r="K65" i="61"/>
  <c r="K66" i="61" s="1"/>
  <c r="K35" i="62"/>
  <c r="K65" i="62"/>
  <c r="K26" i="63"/>
  <c r="K35" i="63"/>
  <c r="K56" i="63"/>
  <c r="K65" i="63"/>
  <c r="K26" i="64"/>
  <c r="K35" i="64"/>
  <c r="K56" i="64"/>
  <c r="K65" i="64"/>
  <c r="K26" i="65"/>
  <c r="K35" i="65"/>
  <c r="K56" i="65"/>
  <c r="K65" i="65"/>
  <c r="K66" i="65" s="1"/>
  <c r="K35" i="68"/>
  <c r="K65" i="68"/>
  <c r="K35" i="70"/>
  <c r="K65" i="70"/>
  <c r="K26" i="66"/>
  <c r="K35" i="66"/>
  <c r="K56" i="66"/>
  <c r="K65" i="66"/>
  <c r="K26" i="1"/>
  <c r="K35" i="1"/>
  <c r="K56" i="1"/>
  <c r="K65" i="1"/>
  <c r="M26" i="60"/>
  <c r="M35" i="60"/>
  <c r="M56" i="60"/>
  <c r="M65" i="60"/>
  <c r="M26" i="61"/>
  <c r="M35" i="61"/>
  <c r="M56" i="61"/>
  <c r="M65" i="61"/>
  <c r="M35" i="62"/>
  <c r="M65" i="62"/>
  <c r="M26" i="63"/>
  <c r="M35" i="63"/>
  <c r="M56" i="63"/>
  <c r="M65" i="63"/>
  <c r="M26" i="64"/>
  <c r="M35" i="64"/>
  <c r="M56" i="64"/>
  <c r="M65" i="64"/>
  <c r="M26" i="65"/>
  <c r="M35" i="65"/>
  <c r="M56" i="65"/>
  <c r="M65" i="65"/>
  <c r="M35" i="68"/>
  <c r="M65" i="68"/>
  <c r="M35" i="70"/>
  <c r="M65" i="70"/>
  <c r="M26" i="66"/>
  <c r="M35" i="66"/>
  <c r="M56" i="66"/>
  <c r="M65" i="66"/>
  <c r="M26" i="1"/>
  <c r="M35" i="1"/>
  <c r="M56" i="1"/>
  <c r="M65" i="1"/>
  <c r="O26" i="60"/>
  <c r="O35" i="60"/>
  <c r="O56" i="60"/>
  <c r="O65" i="60"/>
  <c r="O66" i="60" s="1"/>
  <c r="O26" i="61"/>
  <c r="O35" i="61"/>
  <c r="O56" i="61"/>
  <c r="O65" i="61"/>
  <c r="O66" i="61" s="1"/>
  <c r="O35" i="62"/>
  <c r="O65" i="62"/>
  <c r="O26" i="63"/>
  <c r="O35" i="63"/>
  <c r="O56" i="63"/>
  <c r="O65" i="63"/>
  <c r="O66" i="63" s="1"/>
  <c r="O26" i="64"/>
  <c r="O35" i="64"/>
  <c r="O56" i="64"/>
  <c r="O65" i="64"/>
  <c r="O66" i="64" s="1"/>
  <c r="O26" i="65"/>
  <c r="O35" i="65"/>
  <c r="O56" i="65"/>
  <c r="O65" i="65"/>
  <c r="O66" i="65" s="1"/>
  <c r="O35" i="68"/>
  <c r="O65" i="68"/>
  <c r="O35" i="70"/>
  <c r="O65" i="70"/>
  <c r="O26" i="66"/>
  <c r="O35" i="66"/>
  <c r="O56" i="66"/>
  <c r="O65" i="66"/>
  <c r="O26" i="1"/>
  <c r="O35" i="1"/>
  <c r="O35" i="52"/>
  <c r="O35" i="53"/>
  <c r="O56" i="1"/>
  <c r="O65" i="1"/>
  <c r="O65" i="52"/>
  <c r="O65" i="53"/>
  <c r="Q56" i="62"/>
  <c r="R56" i="62"/>
  <c r="S56" i="62"/>
  <c r="T56" i="62"/>
  <c r="Q56" i="68"/>
  <c r="R56" i="68"/>
  <c r="S56" i="68"/>
  <c r="T56" i="68"/>
  <c r="Q56" i="70"/>
  <c r="R56" i="70"/>
  <c r="S56" i="70"/>
  <c r="T56" i="70"/>
  <c r="Q26" i="62"/>
  <c r="R26" i="62"/>
  <c r="S26" i="62"/>
  <c r="T26" i="62"/>
  <c r="Q26" i="68"/>
  <c r="R26" i="68"/>
  <c r="S26" i="68"/>
  <c r="T26" i="68"/>
  <c r="T66" i="68" s="1"/>
  <c r="Q26" i="70"/>
  <c r="R26" i="70"/>
  <c r="S26" i="70"/>
  <c r="T26" i="70"/>
  <c r="V64" i="61"/>
  <c r="U64" i="61"/>
  <c r="V63" i="61"/>
  <c r="U63" i="61"/>
  <c r="V62" i="61"/>
  <c r="U62" i="61"/>
  <c r="V64" i="62"/>
  <c r="U64" i="62"/>
  <c r="V63" i="62"/>
  <c r="U63" i="62"/>
  <c r="W63" i="62" s="1"/>
  <c r="V62" i="62"/>
  <c r="U62" i="62"/>
  <c r="V64" i="63"/>
  <c r="U64" i="63"/>
  <c r="V63" i="63"/>
  <c r="U63" i="63"/>
  <c r="W63" i="63" s="1"/>
  <c r="V62" i="63"/>
  <c r="U62" i="63"/>
  <c r="V64" i="64"/>
  <c r="U64" i="64"/>
  <c r="V63" i="64"/>
  <c r="U63" i="64"/>
  <c r="V62" i="64"/>
  <c r="U62" i="64"/>
  <c r="W62" i="64" s="1"/>
  <c r="V64" i="65"/>
  <c r="U64" i="65"/>
  <c r="W64" i="65" s="1"/>
  <c r="V63" i="65"/>
  <c r="U63" i="65"/>
  <c r="V62" i="65"/>
  <c r="U62" i="65"/>
  <c r="V64" i="68"/>
  <c r="U64" i="68"/>
  <c r="V63" i="68"/>
  <c r="U63" i="68"/>
  <c r="W63" i="68" s="1"/>
  <c r="V62" i="68"/>
  <c r="U62" i="68"/>
  <c r="V64" i="70"/>
  <c r="U64" i="70"/>
  <c r="V63" i="70"/>
  <c r="U63" i="70"/>
  <c r="W63" i="70" s="1"/>
  <c r="V62" i="70"/>
  <c r="U62" i="70"/>
  <c r="V64" i="66"/>
  <c r="V63" i="66"/>
  <c r="V62" i="66"/>
  <c r="D64" i="52"/>
  <c r="F64" i="52"/>
  <c r="F64" i="53"/>
  <c r="H64" i="52"/>
  <c r="J64" i="52"/>
  <c r="J64" i="53"/>
  <c r="L64" i="52"/>
  <c r="N64" i="52"/>
  <c r="P64" i="52"/>
  <c r="C64" i="52"/>
  <c r="E64" i="52"/>
  <c r="G64" i="52"/>
  <c r="I64" i="52"/>
  <c r="K64" i="52"/>
  <c r="K64" i="53"/>
  <c r="M64" i="52"/>
  <c r="O64" i="52"/>
  <c r="D63" i="52"/>
  <c r="F63" i="52"/>
  <c r="H63" i="52"/>
  <c r="J63" i="52"/>
  <c r="J63" i="53"/>
  <c r="L63" i="52"/>
  <c r="L63" i="53"/>
  <c r="N63" i="52"/>
  <c r="N63" i="53"/>
  <c r="P63" i="52"/>
  <c r="C63" i="52"/>
  <c r="E63" i="52"/>
  <c r="E63" i="53"/>
  <c r="G63" i="52"/>
  <c r="I63" i="52"/>
  <c r="I63" i="53"/>
  <c r="K63" i="52"/>
  <c r="M63" i="52"/>
  <c r="M63" i="53"/>
  <c r="O63" i="52"/>
  <c r="D62" i="52"/>
  <c r="F62" i="52"/>
  <c r="H62" i="52"/>
  <c r="J62" i="52"/>
  <c r="L62" i="52"/>
  <c r="N62" i="52"/>
  <c r="N62" i="53"/>
  <c r="P62" i="52"/>
  <c r="C62" i="52"/>
  <c r="E62" i="52"/>
  <c r="G62" i="52"/>
  <c r="I62" i="52"/>
  <c r="K62" i="52"/>
  <c r="M62" i="52"/>
  <c r="M62" i="53"/>
  <c r="O62" i="52"/>
  <c r="O62" i="53"/>
  <c r="V64" i="60"/>
  <c r="U64" i="60"/>
  <c r="W64" i="60"/>
  <c r="V63" i="60"/>
  <c r="U63" i="60"/>
  <c r="V62" i="60"/>
  <c r="U62" i="60"/>
  <c r="V55" i="61"/>
  <c r="U55" i="61"/>
  <c r="V54" i="61"/>
  <c r="U54" i="61"/>
  <c r="W54" i="61"/>
  <c r="V53" i="61"/>
  <c r="U53" i="61"/>
  <c r="V52" i="61"/>
  <c r="U52" i="61"/>
  <c r="V51" i="61"/>
  <c r="U51" i="61"/>
  <c r="V55" i="62"/>
  <c r="U55" i="62"/>
  <c r="V54" i="62"/>
  <c r="U54" i="62"/>
  <c r="V53" i="62"/>
  <c r="U53" i="62"/>
  <c r="V52" i="62"/>
  <c r="U52" i="62"/>
  <c r="W52" i="62"/>
  <c r="V51" i="62"/>
  <c r="U51" i="62"/>
  <c r="V55" i="63"/>
  <c r="U55" i="63"/>
  <c r="V54" i="63"/>
  <c r="U54" i="63"/>
  <c r="V53" i="63"/>
  <c r="U53" i="63"/>
  <c r="V52" i="63"/>
  <c r="U52" i="63"/>
  <c r="V51" i="63"/>
  <c r="U51" i="63"/>
  <c r="W51" i="63" s="1"/>
  <c r="V55" i="64"/>
  <c r="U55" i="64"/>
  <c r="V54" i="64"/>
  <c r="U54" i="64"/>
  <c r="W54" i="64"/>
  <c r="V53" i="64"/>
  <c r="U53" i="64"/>
  <c r="V52" i="64"/>
  <c r="U52" i="64"/>
  <c r="W52" i="64"/>
  <c r="V51" i="64"/>
  <c r="U51" i="64"/>
  <c r="V55" i="65"/>
  <c r="U55" i="65"/>
  <c r="V54" i="65"/>
  <c r="U54" i="65"/>
  <c r="W54" i="65"/>
  <c r="V53" i="65"/>
  <c r="U53" i="65"/>
  <c r="V52" i="65"/>
  <c r="U52" i="65"/>
  <c r="V51" i="65"/>
  <c r="U51" i="65"/>
  <c r="W51" i="65"/>
  <c r="V55" i="68"/>
  <c r="U55" i="68"/>
  <c r="W55" i="68"/>
  <c r="V54" i="68"/>
  <c r="U54" i="68"/>
  <c r="V53" i="68"/>
  <c r="U53" i="68"/>
  <c r="V52" i="68"/>
  <c r="U52" i="68"/>
  <c r="W52" i="68"/>
  <c r="V51" i="68"/>
  <c r="U51" i="68"/>
  <c r="V55" i="70"/>
  <c r="U55" i="70"/>
  <c r="V54" i="70"/>
  <c r="U54" i="70"/>
  <c r="V53" i="70"/>
  <c r="U53" i="70"/>
  <c r="V52" i="70"/>
  <c r="U52" i="70"/>
  <c r="W52" i="70"/>
  <c r="V51" i="70"/>
  <c r="U51" i="70"/>
  <c r="V55" i="66"/>
  <c r="U55" i="66"/>
  <c r="V54" i="66"/>
  <c r="U54" i="66"/>
  <c r="W54" i="66"/>
  <c r="V53" i="66"/>
  <c r="U53" i="66"/>
  <c r="V52" i="66"/>
  <c r="U52" i="66"/>
  <c r="V51" i="66"/>
  <c r="U51" i="66"/>
  <c r="D55" i="52"/>
  <c r="F55" i="52"/>
  <c r="H55" i="52"/>
  <c r="J55" i="52"/>
  <c r="L55" i="52"/>
  <c r="N55" i="52"/>
  <c r="P55" i="52"/>
  <c r="C55" i="52"/>
  <c r="E55" i="52"/>
  <c r="G55" i="52"/>
  <c r="G55" i="53"/>
  <c r="I55" i="52"/>
  <c r="K55" i="52"/>
  <c r="K55" i="53"/>
  <c r="M55" i="52"/>
  <c r="O55" i="52"/>
  <c r="D54" i="52"/>
  <c r="F54" i="52"/>
  <c r="H54" i="52"/>
  <c r="J54" i="52"/>
  <c r="J54" i="53"/>
  <c r="L54" i="52"/>
  <c r="N54" i="52"/>
  <c r="P54" i="52"/>
  <c r="C54" i="52"/>
  <c r="E54" i="52"/>
  <c r="G54" i="52"/>
  <c r="I54" i="52"/>
  <c r="K54" i="52"/>
  <c r="K54" i="53"/>
  <c r="M54" i="52"/>
  <c r="O54" i="52"/>
  <c r="D53" i="52"/>
  <c r="F53" i="52"/>
  <c r="H53" i="52"/>
  <c r="J53" i="52"/>
  <c r="J53" i="53"/>
  <c r="L53" i="52"/>
  <c r="L53" i="53"/>
  <c r="N53" i="52"/>
  <c r="N53" i="53"/>
  <c r="P53" i="52"/>
  <c r="V53" i="52"/>
  <c r="V53" i="53"/>
  <c r="C53" i="52"/>
  <c r="C53" i="53"/>
  <c r="E53" i="52"/>
  <c r="E53" i="53"/>
  <c r="G53" i="52"/>
  <c r="I53" i="52"/>
  <c r="K53" i="52"/>
  <c r="M53" i="52"/>
  <c r="M53" i="53"/>
  <c r="O53" i="52"/>
  <c r="O53" i="53"/>
  <c r="D52" i="52"/>
  <c r="F52" i="52"/>
  <c r="H52" i="52"/>
  <c r="J52" i="52"/>
  <c r="L52" i="52"/>
  <c r="N52" i="52"/>
  <c r="N52" i="53"/>
  <c r="P52" i="52"/>
  <c r="P52" i="53"/>
  <c r="C52" i="52"/>
  <c r="E52" i="52"/>
  <c r="G52" i="52"/>
  <c r="I52" i="52"/>
  <c r="K52" i="52"/>
  <c r="M52" i="52"/>
  <c r="M52" i="53"/>
  <c r="O52" i="52"/>
  <c r="O52" i="53"/>
  <c r="D51" i="52"/>
  <c r="F51" i="52"/>
  <c r="F51" i="53"/>
  <c r="H51" i="52"/>
  <c r="J51" i="52"/>
  <c r="J51" i="53"/>
  <c r="L51" i="52"/>
  <c r="N51" i="52"/>
  <c r="N51" i="53"/>
  <c r="P51" i="52"/>
  <c r="C51" i="52"/>
  <c r="E51" i="52"/>
  <c r="G51" i="52"/>
  <c r="G51" i="53"/>
  <c r="I51" i="52"/>
  <c r="K51" i="52"/>
  <c r="M51" i="52"/>
  <c r="M51" i="53"/>
  <c r="O51" i="52"/>
  <c r="V55" i="60"/>
  <c r="U55" i="60"/>
  <c r="W55" i="60"/>
  <c r="V54" i="60"/>
  <c r="U54" i="60"/>
  <c r="V53" i="60"/>
  <c r="U53" i="60"/>
  <c r="V52" i="60"/>
  <c r="U52" i="60"/>
  <c r="V51" i="60"/>
  <c r="U51" i="60"/>
  <c r="V49" i="61"/>
  <c r="U49" i="61"/>
  <c r="W49" i="61"/>
  <c r="V48" i="61"/>
  <c r="U48" i="61"/>
  <c r="V49" i="62"/>
  <c r="U49" i="62"/>
  <c r="V48" i="62"/>
  <c r="U48" i="62"/>
  <c r="V49" i="63"/>
  <c r="U49" i="63"/>
  <c r="V48" i="63"/>
  <c r="U48" i="63"/>
  <c r="W48" i="63" s="1"/>
  <c r="V49" i="64"/>
  <c r="U49" i="64"/>
  <c r="V48" i="64"/>
  <c r="U48" i="64"/>
  <c r="V49" i="65"/>
  <c r="U49" i="65"/>
  <c r="W49" i="65" s="1"/>
  <c r="V48" i="65"/>
  <c r="U48" i="65"/>
  <c r="V49" i="68"/>
  <c r="U49" i="68"/>
  <c r="V48" i="68"/>
  <c r="U48" i="68"/>
  <c r="V49" i="70"/>
  <c r="U49" i="70"/>
  <c r="W49" i="70"/>
  <c r="V48" i="70"/>
  <c r="U48" i="70"/>
  <c r="V49" i="66"/>
  <c r="U49" i="66"/>
  <c r="V48" i="66"/>
  <c r="U48" i="66"/>
  <c r="D49" i="52"/>
  <c r="F49" i="52"/>
  <c r="H49" i="52"/>
  <c r="J49" i="52"/>
  <c r="L49" i="52"/>
  <c r="N49" i="52"/>
  <c r="N49" i="53"/>
  <c r="P49" i="52"/>
  <c r="C49" i="52"/>
  <c r="C49" i="53"/>
  <c r="E49" i="52"/>
  <c r="G49" i="52"/>
  <c r="G49" i="53"/>
  <c r="I49" i="52"/>
  <c r="K49" i="52"/>
  <c r="M49" i="52"/>
  <c r="O49" i="52"/>
  <c r="D48" i="52"/>
  <c r="F48" i="52"/>
  <c r="H48" i="52"/>
  <c r="J48" i="52"/>
  <c r="J48" i="53"/>
  <c r="L48" i="52"/>
  <c r="N48" i="52"/>
  <c r="P48" i="52"/>
  <c r="P48" i="53"/>
  <c r="C48" i="52"/>
  <c r="E48" i="52"/>
  <c r="G48" i="52"/>
  <c r="I48" i="52"/>
  <c r="K48" i="52"/>
  <c r="M48" i="52"/>
  <c r="O48" i="52"/>
  <c r="V49" i="60"/>
  <c r="U49" i="60"/>
  <c r="V48" i="60"/>
  <c r="U48" i="60"/>
  <c r="W48" i="60" s="1"/>
  <c r="V34" i="61"/>
  <c r="U34" i="61"/>
  <c r="W34" i="61"/>
  <c r="V33" i="61"/>
  <c r="U33" i="61"/>
  <c r="V32" i="61"/>
  <c r="U32" i="61"/>
  <c r="V34" i="62"/>
  <c r="U34" i="62"/>
  <c r="W34" i="62"/>
  <c r="V33" i="62"/>
  <c r="U33" i="62"/>
  <c r="W33" i="62"/>
  <c r="V32" i="62"/>
  <c r="U32" i="62"/>
  <c r="V34" i="63"/>
  <c r="U34" i="63"/>
  <c r="V33" i="63"/>
  <c r="U33" i="63"/>
  <c r="W33" i="63"/>
  <c r="V32" i="63"/>
  <c r="U32" i="63"/>
  <c r="W32" i="63"/>
  <c r="V34" i="64"/>
  <c r="U34" i="64"/>
  <c r="V33" i="64"/>
  <c r="U33" i="64"/>
  <c r="V32" i="64"/>
  <c r="U32" i="64"/>
  <c r="W32" i="64"/>
  <c r="V34" i="65"/>
  <c r="U34" i="65"/>
  <c r="V33" i="65"/>
  <c r="U33" i="65"/>
  <c r="V32" i="65"/>
  <c r="U32" i="65"/>
  <c r="V34" i="68"/>
  <c r="U34" i="68"/>
  <c r="W34" i="68"/>
  <c r="V33" i="68"/>
  <c r="U33" i="68"/>
  <c r="V32" i="68"/>
  <c r="U32" i="68"/>
  <c r="V34" i="70"/>
  <c r="U34" i="70"/>
  <c r="V33" i="70"/>
  <c r="U33" i="70"/>
  <c r="W33" i="70"/>
  <c r="V32" i="70"/>
  <c r="U32" i="70"/>
  <c r="V34" i="66"/>
  <c r="U34" i="66"/>
  <c r="V33" i="66"/>
  <c r="U33" i="66"/>
  <c r="V32" i="66"/>
  <c r="U32" i="66"/>
  <c r="D34" i="52"/>
  <c r="F34" i="52"/>
  <c r="F34" i="53"/>
  <c r="H34" i="52"/>
  <c r="J34" i="52"/>
  <c r="L34" i="52"/>
  <c r="N34" i="52"/>
  <c r="P34" i="52"/>
  <c r="C34" i="52"/>
  <c r="E34" i="52"/>
  <c r="G34" i="52"/>
  <c r="G34" i="53"/>
  <c r="I34" i="52"/>
  <c r="K34" i="52"/>
  <c r="M34" i="52"/>
  <c r="O34" i="52"/>
  <c r="D33" i="52"/>
  <c r="D33" i="53"/>
  <c r="F33" i="52"/>
  <c r="H33" i="52"/>
  <c r="J33" i="52"/>
  <c r="L33" i="52"/>
  <c r="L33" i="53"/>
  <c r="N33" i="52"/>
  <c r="P33" i="52"/>
  <c r="C33" i="52"/>
  <c r="E33" i="52"/>
  <c r="G33" i="52"/>
  <c r="G33" i="53"/>
  <c r="I33" i="52"/>
  <c r="K33" i="52"/>
  <c r="K33" i="53"/>
  <c r="M33" i="52"/>
  <c r="O33" i="52"/>
  <c r="D32" i="52"/>
  <c r="F32" i="52"/>
  <c r="F32" i="53"/>
  <c r="H32" i="52"/>
  <c r="J32" i="52"/>
  <c r="J32" i="53"/>
  <c r="L32" i="52"/>
  <c r="N32" i="52"/>
  <c r="P32" i="52"/>
  <c r="C32" i="52"/>
  <c r="E32" i="52"/>
  <c r="G32" i="52"/>
  <c r="I32" i="52"/>
  <c r="K32" i="52"/>
  <c r="K32" i="53"/>
  <c r="M32" i="52"/>
  <c r="O32" i="52"/>
  <c r="V34" i="60"/>
  <c r="U34" i="60"/>
  <c r="V33" i="60"/>
  <c r="U33" i="60"/>
  <c r="V32" i="60"/>
  <c r="U32" i="60"/>
  <c r="W32" i="60" s="1"/>
  <c r="V25" i="61"/>
  <c r="U25" i="61"/>
  <c r="V24" i="61"/>
  <c r="U24" i="61"/>
  <c r="V23" i="61"/>
  <c r="U23" i="61"/>
  <c r="V22" i="61"/>
  <c r="U22" i="61"/>
  <c r="W22" i="61"/>
  <c r="V21" i="61"/>
  <c r="U21" i="61"/>
  <c r="V25" i="62"/>
  <c r="U25" i="62"/>
  <c r="V24" i="62"/>
  <c r="U24" i="62"/>
  <c r="V23" i="62"/>
  <c r="U23" i="62"/>
  <c r="V22" i="62"/>
  <c r="U22" i="62"/>
  <c r="W22" i="62"/>
  <c r="V21" i="62"/>
  <c r="U21" i="62"/>
  <c r="V25" i="63"/>
  <c r="U25" i="63"/>
  <c r="V24" i="63"/>
  <c r="U24" i="63"/>
  <c r="W24" i="63"/>
  <c r="V23" i="63"/>
  <c r="U23" i="63"/>
  <c r="V22" i="63"/>
  <c r="U22" i="63"/>
  <c r="V21" i="63"/>
  <c r="U21" i="63"/>
  <c r="V25" i="64"/>
  <c r="U25" i="64"/>
  <c r="V24" i="64"/>
  <c r="U24" i="64"/>
  <c r="W24" i="64"/>
  <c r="V23" i="64"/>
  <c r="U23" i="64"/>
  <c r="W23" i="64"/>
  <c r="V22" i="64"/>
  <c r="U22" i="64"/>
  <c r="V21" i="64"/>
  <c r="U21" i="64"/>
  <c r="V25" i="65"/>
  <c r="U25" i="65"/>
  <c r="W25" i="65"/>
  <c r="V24" i="65"/>
  <c r="U24" i="65"/>
  <c r="V23" i="65"/>
  <c r="U23" i="65"/>
  <c r="W23" i="65"/>
  <c r="V22" i="65"/>
  <c r="U22" i="65"/>
  <c r="W22" i="65" s="1"/>
  <c r="V21" i="65"/>
  <c r="U21" i="65"/>
  <c r="W21" i="65" s="1"/>
  <c r="V25" i="68"/>
  <c r="U25" i="68"/>
  <c r="V24" i="68"/>
  <c r="U24" i="68"/>
  <c r="V23" i="68"/>
  <c r="U23" i="68"/>
  <c r="W23" i="68"/>
  <c r="V22" i="68"/>
  <c r="U22" i="68"/>
  <c r="V21" i="68"/>
  <c r="U21" i="68"/>
  <c r="V25" i="70"/>
  <c r="U25" i="70"/>
  <c r="V24" i="70"/>
  <c r="U24" i="70"/>
  <c r="W24" i="70"/>
  <c r="V23" i="70"/>
  <c r="U23" i="70"/>
  <c r="W23" i="70"/>
  <c r="V22" i="70"/>
  <c r="U22" i="70"/>
  <c r="V21" i="70"/>
  <c r="U21" i="70"/>
  <c r="W21" i="70"/>
  <c r="V25" i="66"/>
  <c r="U25" i="66"/>
  <c r="W25" i="66"/>
  <c r="V24" i="66"/>
  <c r="U24" i="66"/>
  <c r="V23" i="66"/>
  <c r="U23" i="66"/>
  <c r="V22" i="66"/>
  <c r="U22" i="66"/>
  <c r="V21" i="66"/>
  <c r="U21" i="66"/>
  <c r="D25" i="52"/>
  <c r="F25" i="52"/>
  <c r="H25" i="52"/>
  <c r="J25" i="52"/>
  <c r="L25" i="52"/>
  <c r="N25" i="52"/>
  <c r="P25" i="52"/>
  <c r="C25" i="52"/>
  <c r="E25" i="52"/>
  <c r="G25" i="52"/>
  <c r="I25" i="52"/>
  <c r="K25" i="52"/>
  <c r="M25" i="52"/>
  <c r="O25" i="52"/>
  <c r="D24" i="52"/>
  <c r="F24" i="52"/>
  <c r="H24" i="52"/>
  <c r="H24" i="53"/>
  <c r="J24" i="52"/>
  <c r="L24" i="52"/>
  <c r="N24" i="52"/>
  <c r="P24" i="52"/>
  <c r="C24" i="52"/>
  <c r="E24" i="52"/>
  <c r="G24" i="52"/>
  <c r="G24" i="53"/>
  <c r="I24" i="52"/>
  <c r="K24" i="52"/>
  <c r="M24" i="52"/>
  <c r="O24" i="52"/>
  <c r="D23" i="52"/>
  <c r="F23" i="52"/>
  <c r="F23" i="53"/>
  <c r="H23" i="52"/>
  <c r="J23" i="52"/>
  <c r="L23" i="52"/>
  <c r="L23" i="53"/>
  <c r="N23" i="52"/>
  <c r="N23" i="53"/>
  <c r="P23" i="52"/>
  <c r="C23" i="52"/>
  <c r="E23" i="52"/>
  <c r="G23" i="52"/>
  <c r="I23" i="52"/>
  <c r="K23" i="52"/>
  <c r="M23" i="52"/>
  <c r="M23" i="53"/>
  <c r="O23" i="52"/>
  <c r="D22" i="52"/>
  <c r="F22" i="52"/>
  <c r="F22" i="53"/>
  <c r="H22" i="52"/>
  <c r="H22" i="53"/>
  <c r="J22" i="52"/>
  <c r="L22" i="52"/>
  <c r="L22" i="53"/>
  <c r="N22" i="52"/>
  <c r="N22" i="53"/>
  <c r="P22" i="52"/>
  <c r="P22" i="53"/>
  <c r="C22" i="52"/>
  <c r="E22" i="52"/>
  <c r="G22" i="52"/>
  <c r="I22" i="52"/>
  <c r="K22" i="52"/>
  <c r="K22" i="53"/>
  <c r="M22" i="52"/>
  <c r="M22" i="53"/>
  <c r="O22" i="52"/>
  <c r="O22" i="53"/>
  <c r="D21" i="52"/>
  <c r="F21" i="52"/>
  <c r="F21" i="53"/>
  <c r="H21" i="52"/>
  <c r="J21" i="52"/>
  <c r="L21" i="52"/>
  <c r="L21" i="53"/>
  <c r="N21" i="52"/>
  <c r="P21" i="52"/>
  <c r="P21" i="53"/>
  <c r="C21" i="52"/>
  <c r="E21" i="52"/>
  <c r="E21" i="53"/>
  <c r="G21" i="52"/>
  <c r="G21" i="53"/>
  <c r="I21" i="52"/>
  <c r="I21" i="53"/>
  <c r="K21" i="52"/>
  <c r="K21" i="53"/>
  <c r="M21" i="52"/>
  <c r="O21" i="52"/>
  <c r="V25" i="60"/>
  <c r="U25" i="60"/>
  <c r="V24" i="60"/>
  <c r="U24" i="60"/>
  <c r="V23" i="60"/>
  <c r="U23" i="60"/>
  <c r="V22" i="60"/>
  <c r="U22" i="60"/>
  <c r="V21" i="60"/>
  <c r="U21" i="60"/>
  <c r="U19" i="61"/>
  <c r="V19" i="61"/>
  <c r="U19" i="62"/>
  <c r="V19" i="62"/>
  <c r="W19" i="62" s="1"/>
  <c r="U19" i="63"/>
  <c r="V19" i="63"/>
  <c r="W19" i="63"/>
  <c r="U19" i="64"/>
  <c r="V19" i="64"/>
  <c r="U19" i="65"/>
  <c r="V19" i="65"/>
  <c r="W19" i="65" s="1"/>
  <c r="U19" i="68"/>
  <c r="V19" i="68"/>
  <c r="W19" i="68" s="1"/>
  <c r="U19" i="70"/>
  <c r="V19" i="70"/>
  <c r="U19" i="66"/>
  <c r="V19" i="66"/>
  <c r="C19" i="52"/>
  <c r="C19" i="53"/>
  <c r="E19" i="52"/>
  <c r="G19" i="52"/>
  <c r="G19" i="53"/>
  <c r="I19" i="52"/>
  <c r="I19" i="53"/>
  <c r="K19" i="52"/>
  <c r="K19" i="53"/>
  <c r="M19" i="52"/>
  <c r="M19" i="53"/>
  <c r="O19" i="52"/>
  <c r="O19" i="53"/>
  <c r="D19" i="52"/>
  <c r="D19" i="53"/>
  <c r="F19" i="52"/>
  <c r="H19" i="52"/>
  <c r="J19" i="52"/>
  <c r="J19" i="53"/>
  <c r="L19" i="52"/>
  <c r="L19" i="53"/>
  <c r="N19" i="52"/>
  <c r="N19" i="53"/>
  <c r="P19" i="52"/>
  <c r="U19" i="60"/>
  <c r="V19" i="60"/>
  <c r="V18" i="61"/>
  <c r="V18" i="62"/>
  <c r="V18" i="63"/>
  <c r="V18" i="64"/>
  <c r="V18" i="65"/>
  <c r="V18" i="68"/>
  <c r="V18" i="70"/>
  <c r="V18" i="66"/>
  <c r="D18" i="52"/>
  <c r="F18" i="52"/>
  <c r="F18" i="53"/>
  <c r="H18" i="52"/>
  <c r="J18" i="52"/>
  <c r="L18" i="52"/>
  <c r="L18" i="53"/>
  <c r="N18" i="52"/>
  <c r="N18" i="53"/>
  <c r="P18" i="52"/>
  <c r="V18" i="60"/>
  <c r="U18" i="61"/>
  <c r="U18" i="62"/>
  <c r="U18" i="63"/>
  <c r="U18" i="64"/>
  <c r="U18" i="65"/>
  <c r="U18" i="68"/>
  <c r="U18" i="70"/>
  <c r="U18" i="66"/>
  <c r="W18" i="66"/>
  <c r="C18" i="52"/>
  <c r="E18" i="52"/>
  <c r="E18" i="53"/>
  <c r="G18" i="52"/>
  <c r="I18" i="52"/>
  <c r="I18" i="53"/>
  <c r="K18" i="52"/>
  <c r="K18" i="53"/>
  <c r="M18" i="52"/>
  <c r="O18" i="52"/>
  <c r="U18" i="60"/>
  <c r="W18" i="60"/>
  <c r="U35" i="1"/>
  <c r="V64" i="1"/>
  <c r="U64" i="1"/>
  <c r="V63" i="1"/>
  <c r="U63" i="1"/>
  <c r="V62" i="1"/>
  <c r="U62" i="1"/>
  <c r="W62" i="1" s="1"/>
  <c r="V55" i="1"/>
  <c r="U55" i="1"/>
  <c r="V54" i="1"/>
  <c r="U54" i="1"/>
  <c r="V53" i="1"/>
  <c r="U53" i="1"/>
  <c r="V52" i="1"/>
  <c r="U52" i="1"/>
  <c r="V51" i="1"/>
  <c r="U51" i="1"/>
  <c r="V49" i="1"/>
  <c r="U49" i="1"/>
  <c r="V48" i="1"/>
  <c r="U48" i="1"/>
  <c r="V34" i="1"/>
  <c r="U34" i="1"/>
  <c r="W34" i="1"/>
  <c r="V33" i="1"/>
  <c r="U33" i="1"/>
  <c r="V32" i="1"/>
  <c r="U32" i="1"/>
  <c r="V25" i="1"/>
  <c r="U25" i="1"/>
  <c r="W25" i="1"/>
  <c r="V24" i="1"/>
  <c r="U24" i="1"/>
  <c r="V23" i="1"/>
  <c r="U23" i="1"/>
  <c r="V22" i="1"/>
  <c r="U22" i="1"/>
  <c r="V21" i="1"/>
  <c r="U21" i="1"/>
  <c r="W21" i="1" s="1"/>
  <c r="V19" i="1"/>
  <c r="U19" i="1"/>
  <c r="V18" i="1"/>
  <c r="U18" i="1"/>
  <c r="A3" i="23"/>
  <c r="A1" i="1"/>
  <c r="D21" i="23"/>
  <c r="D22" i="23"/>
  <c r="B22" i="23"/>
  <c r="A40" i="62"/>
  <c r="B41" i="72"/>
  <c r="B30" i="72"/>
  <c r="B16" i="72"/>
  <c r="A3" i="1"/>
  <c r="A4" i="76"/>
  <c r="N3" i="1"/>
  <c r="I4" i="76"/>
  <c r="A4" i="1"/>
  <c r="A5" i="76"/>
  <c r="N4" i="1"/>
  <c r="I5" i="76"/>
  <c r="A5" i="1"/>
  <c r="A6" i="76"/>
  <c r="N5" i="1"/>
  <c r="I6" i="76"/>
  <c r="B39" i="72"/>
  <c r="B35" i="72"/>
  <c r="B28" i="72"/>
  <c r="B24" i="72"/>
  <c r="A65" i="23"/>
  <c r="A62" i="23"/>
  <c r="A2" i="64"/>
  <c r="Q30" i="73"/>
  <c r="Q34" i="73"/>
  <c r="Q36" i="73"/>
  <c r="Q38" i="73"/>
  <c r="H1" i="72"/>
  <c r="D33" i="23"/>
  <c r="X1" i="1"/>
  <c r="D23" i="23"/>
  <c r="A79" i="15"/>
  <c r="A60" i="23"/>
  <c r="A63" i="23"/>
  <c r="K36" i="14"/>
  <c r="K35" i="14"/>
  <c r="O26" i="62"/>
  <c r="O26" i="68"/>
  <c r="O26" i="70"/>
  <c r="D59" i="52"/>
  <c r="F59" i="52"/>
  <c r="H59" i="52"/>
  <c r="J59" i="52"/>
  <c r="L59" i="52"/>
  <c r="L59" i="53"/>
  <c r="N59" i="52"/>
  <c r="N59" i="53"/>
  <c r="P59" i="52"/>
  <c r="C59" i="52"/>
  <c r="E59" i="52"/>
  <c r="G59" i="52"/>
  <c r="I59" i="52"/>
  <c r="K59" i="52"/>
  <c r="K59" i="53"/>
  <c r="M59" i="52"/>
  <c r="M59" i="53"/>
  <c r="O59" i="52"/>
  <c r="D58" i="52"/>
  <c r="F58" i="52"/>
  <c r="H58" i="52"/>
  <c r="H58" i="53"/>
  <c r="J58" i="52"/>
  <c r="L58" i="52"/>
  <c r="N58" i="52"/>
  <c r="P58" i="52"/>
  <c r="P58" i="53"/>
  <c r="C58" i="52"/>
  <c r="E58" i="52"/>
  <c r="E58" i="53"/>
  <c r="G58" i="52"/>
  <c r="G58" i="53"/>
  <c r="I58" i="52"/>
  <c r="K58" i="52"/>
  <c r="M58" i="52"/>
  <c r="O58" i="52"/>
  <c r="O58" i="53"/>
  <c r="D29" i="52"/>
  <c r="F29" i="52"/>
  <c r="H29" i="52"/>
  <c r="H29" i="53"/>
  <c r="J29" i="52"/>
  <c r="L29" i="52"/>
  <c r="N29" i="52"/>
  <c r="P29" i="52"/>
  <c r="C29" i="52"/>
  <c r="E29" i="52"/>
  <c r="G29" i="52"/>
  <c r="I29" i="52"/>
  <c r="I29" i="53"/>
  <c r="K29" i="52"/>
  <c r="K29" i="53"/>
  <c r="M29" i="52"/>
  <c r="O29" i="52"/>
  <c r="O29" i="53"/>
  <c r="D28" i="52"/>
  <c r="D28" i="53"/>
  <c r="F28" i="52"/>
  <c r="H28" i="52"/>
  <c r="J28" i="52"/>
  <c r="L28" i="52"/>
  <c r="L28" i="53"/>
  <c r="N28" i="52"/>
  <c r="P28" i="52"/>
  <c r="C28" i="52"/>
  <c r="E28" i="52"/>
  <c r="E28" i="53"/>
  <c r="G28" i="52"/>
  <c r="I28" i="52"/>
  <c r="K28" i="52"/>
  <c r="M28" i="52"/>
  <c r="M28" i="53"/>
  <c r="O28" i="52"/>
  <c r="X1" i="60"/>
  <c r="X1" i="61"/>
  <c r="X1" i="68"/>
  <c r="X1" i="62"/>
  <c r="X1" i="70"/>
  <c r="X1" i="63"/>
  <c r="X1" i="64"/>
  <c r="X1" i="65"/>
  <c r="X1" i="66"/>
  <c r="A3" i="70"/>
  <c r="N3" i="70"/>
  <c r="A4" i="70"/>
  <c r="A38" i="70"/>
  <c r="N4" i="70"/>
  <c r="A5" i="70"/>
  <c r="N5" i="70"/>
  <c r="W18" i="70"/>
  <c r="W19" i="70"/>
  <c r="W22" i="70"/>
  <c r="W25" i="70"/>
  <c r="C26" i="70"/>
  <c r="D26" i="70"/>
  <c r="E26" i="70"/>
  <c r="F26" i="70"/>
  <c r="G26" i="70"/>
  <c r="H26" i="70"/>
  <c r="I26" i="70"/>
  <c r="J26" i="70"/>
  <c r="K26" i="70"/>
  <c r="L26" i="70"/>
  <c r="M26" i="70"/>
  <c r="N26" i="70"/>
  <c r="P26" i="70"/>
  <c r="U28" i="70"/>
  <c r="V28" i="70"/>
  <c r="U29" i="70"/>
  <c r="V29" i="70"/>
  <c r="W29" i="70"/>
  <c r="W32" i="70"/>
  <c r="W34" i="70"/>
  <c r="A42" i="70"/>
  <c r="A37" i="70"/>
  <c r="A40" i="70"/>
  <c r="W48" i="70"/>
  <c r="W51" i="70"/>
  <c r="W53" i="70"/>
  <c r="W54" i="70"/>
  <c r="W55" i="70"/>
  <c r="C56" i="70"/>
  <c r="D56" i="70"/>
  <c r="E56" i="70"/>
  <c r="F56" i="70"/>
  <c r="G56" i="70"/>
  <c r="G66" i="70"/>
  <c r="H56" i="70"/>
  <c r="I56" i="70"/>
  <c r="J56" i="70"/>
  <c r="K56" i="70"/>
  <c r="K66" i="70"/>
  <c r="L56" i="70"/>
  <c r="M56" i="70"/>
  <c r="N56" i="70"/>
  <c r="O56" i="70"/>
  <c r="P56" i="70"/>
  <c r="U58" i="70"/>
  <c r="V58" i="70"/>
  <c r="W58" i="70"/>
  <c r="U59" i="70"/>
  <c r="V59" i="70"/>
  <c r="W59" i="70"/>
  <c r="W62" i="70"/>
  <c r="W64" i="70"/>
  <c r="A3" i="68"/>
  <c r="N3" i="68"/>
  <c r="A4" i="68"/>
  <c r="N4" i="68"/>
  <c r="A5" i="68"/>
  <c r="N5" i="68"/>
  <c r="W18" i="68"/>
  <c r="W21" i="68"/>
  <c r="W22" i="68"/>
  <c r="W24" i="68"/>
  <c r="W25" i="68"/>
  <c r="C26" i="68"/>
  <c r="D26" i="68"/>
  <c r="E26" i="68"/>
  <c r="F26" i="68"/>
  <c r="G26" i="68"/>
  <c r="H26" i="68"/>
  <c r="I26" i="68"/>
  <c r="J26" i="68"/>
  <c r="K26" i="68"/>
  <c r="L26" i="68"/>
  <c r="M26" i="68"/>
  <c r="N26" i="68"/>
  <c r="P26" i="68"/>
  <c r="U28" i="68"/>
  <c r="V28" i="68"/>
  <c r="W28" i="68"/>
  <c r="U29" i="68"/>
  <c r="V29" i="68"/>
  <c r="W29" i="68"/>
  <c r="W32" i="68"/>
  <c r="W33" i="68"/>
  <c r="A42" i="68"/>
  <c r="A37" i="68"/>
  <c r="A38" i="68"/>
  <c r="A40" i="68"/>
  <c r="W48" i="68"/>
  <c r="W49" i="68"/>
  <c r="W51" i="68"/>
  <c r="W53" i="68"/>
  <c r="W54" i="68"/>
  <c r="C56" i="68"/>
  <c r="D56" i="68"/>
  <c r="E56" i="68"/>
  <c r="F56" i="68"/>
  <c r="F66" i="68" s="1"/>
  <c r="G56" i="68"/>
  <c r="H56" i="68"/>
  <c r="I56" i="68"/>
  <c r="I66" i="68" s="1"/>
  <c r="J56" i="68"/>
  <c r="K56" i="68"/>
  <c r="L56" i="68"/>
  <c r="M56" i="68"/>
  <c r="M66" i="68"/>
  <c r="N56" i="68"/>
  <c r="N66" i="68"/>
  <c r="O56" i="68"/>
  <c r="P56" i="68"/>
  <c r="U58" i="68"/>
  <c r="V58" i="68"/>
  <c r="W58" i="68"/>
  <c r="U59" i="68"/>
  <c r="V59" i="68"/>
  <c r="W59" i="68"/>
  <c r="W62" i="68"/>
  <c r="W64" i="68"/>
  <c r="A3" i="63"/>
  <c r="N3" i="63"/>
  <c r="A4" i="63"/>
  <c r="A38" i="63"/>
  <c r="N4" i="63"/>
  <c r="A5" i="63"/>
  <c r="N5" i="63"/>
  <c r="W25" i="63"/>
  <c r="U28" i="63"/>
  <c r="V28" i="63"/>
  <c r="W28" i="63"/>
  <c r="U29" i="63"/>
  <c r="V29" i="63"/>
  <c r="W29" i="63"/>
  <c r="W34" i="63"/>
  <c r="A42" i="63"/>
  <c r="A37" i="63"/>
  <c r="A40" i="63"/>
  <c r="W49" i="63"/>
  <c r="W54" i="63"/>
  <c r="W55" i="63"/>
  <c r="U58" i="63"/>
  <c r="V58" i="63"/>
  <c r="W58" i="63"/>
  <c r="U59" i="63"/>
  <c r="V59" i="63"/>
  <c r="W59" i="63"/>
  <c r="W62" i="63"/>
  <c r="W64" i="63"/>
  <c r="A3" i="64"/>
  <c r="N3" i="64"/>
  <c r="A4" i="64"/>
  <c r="A38" i="64"/>
  <c r="N4" i="64"/>
  <c r="A5" i="64"/>
  <c r="N5" i="64"/>
  <c r="W19" i="64"/>
  <c r="W21" i="64"/>
  <c r="W25" i="64"/>
  <c r="U28" i="64"/>
  <c r="V28" i="64"/>
  <c r="W28" i="64"/>
  <c r="U29" i="64"/>
  <c r="V29" i="64"/>
  <c r="W33" i="64"/>
  <c r="W34" i="64"/>
  <c r="A42" i="64"/>
  <c r="A37" i="64"/>
  <c r="A40" i="64"/>
  <c r="W48" i="64"/>
  <c r="W49" i="64"/>
  <c r="W51" i="64"/>
  <c r="W53" i="64"/>
  <c r="W55" i="64"/>
  <c r="U58" i="64"/>
  <c r="V58" i="64"/>
  <c r="W58" i="64"/>
  <c r="U59" i="64"/>
  <c r="V59" i="64"/>
  <c r="W59" i="64"/>
  <c r="W63" i="64"/>
  <c r="W64" i="64"/>
  <c r="A3" i="65"/>
  <c r="N3" i="65"/>
  <c r="A4" i="65"/>
  <c r="A38" i="65"/>
  <c r="N4" i="65"/>
  <c r="A5" i="65"/>
  <c r="N5" i="65"/>
  <c r="W18" i="65"/>
  <c r="W24" i="65"/>
  <c r="U28" i="65"/>
  <c r="V28" i="65"/>
  <c r="W28" i="65"/>
  <c r="U29" i="65"/>
  <c r="V29" i="65"/>
  <c r="W29" i="65"/>
  <c r="W32" i="65"/>
  <c r="W33" i="65"/>
  <c r="W34" i="65"/>
  <c r="A42" i="65"/>
  <c r="A37" i="65"/>
  <c r="A40" i="65"/>
  <c r="W48" i="65"/>
  <c r="W52" i="65"/>
  <c r="W53" i="65"/>
  <c r="W55" i="65"/>
  <c r="U58" i="65"/>
  <c r="V58" i="65"/>
  <c r="W58" i="65"/>
  <c r="U59" i="65"/>
  <c r="V59" i="65"/>
  <c r="W59" i="65"/>
  <c r="W62" i="65"/>
  <c r="W63" i="65"/>
  <c r="A3" i="66"/>
  <c r="N3" i="66"/>
  <c r="A4" i="66"/>
  <c r="A38" i="66"/>
  <c r="N4" i="66"/>
  <c r="A5" i="66"/>
  <c r="N5" i="66"/>
  <c r="W24" i="66"/>
  <c r="U28" i="66"/>
  <c r="V28" i="66"/>
  <c r="W28" i="66" s="1"/>
  <c r="U29" i="66"/>
  <c r="V29" i="66"/>
  <c r="W29" i="66"/>
  <c r="W32" i="66"/>
  <c r="W34" i="66"/>
  <c r="A42" i="66"/>
  <c r="A37" i="66"/>
  <c r="A40" i="66"/>
  <c r="W48" i="66"/>
  <c r="W49" i="66"/>
  <c r="W52" i="66"/>
  <c r="W53" i="66"/>
  <c r="W55" i="66"/>
  <c r="U58" i="66"/>
  <c r="V58" i="66"/>
  <c r="W58" i="66"/>
  <c r="U59" i="66"/>
  <c r="V59" i="66"/>
  <c r="W59" i="66"/>
  <c r="W63" i="66"/>
  <c r="W64" i="66"/>
  <c r="A3" i="61"/>
  <c r="N3" i="61"/>
  <c r="A4" i="61"/>
  <c r="A38" i="61"/>
  <c r="N4" i="61"/>
  <c r="A5" i="61"/>
  <c r="N5" i="61"/>
  <c r="W18" i="61"/>
  <c r="W19" i="61"/>
  <c r="W21" i="61"/>
  <c r="W23" i="61"/>
  <c r="W24" i="61"/>
  <c r="W25" i="61"/>
  <c r="U28" i="61"/>
  <c r="V28" i="61"/>
  <c r="W28" i="61"/>
  <c r="U29" i="61"/>
  <c r="V29" i="61"/>
  <c r="W29" i="61"/>
  <c r="W32" i="61"/>
  <c r="W33" i="61"/>
  <c r="A42" i="61"/>
  <c r="A37" i="61"/>
  <c r="A40" i="61"/>
  <c r="W48" i="61"/>
  <c r="W51" i="61"/>
  <c r="W52" i="61"/>
  <c r="W53" i="61"/>
  <c r="W55" i="61"/>
  <c r="U58" i="61"/>
  <c r="V58" i="61"/>
  <c r="U59" i="61"/>
  <c r="V59" i="61"/>
  <c r="W59" i="61"/>
  <c r="W62" i="61"/>
  <c r="W63" i="61"/>
  <c r="W64" i="61"/>
  <c r="A3" i="62"/>
  <c r="N3" i="62"/>
  <c r="A4" i="62"/>
  <c r="A38" i="62"/>
  <c r="N4" i="62"/>
  <c r="A5" i="62"/>
  <c r="N5" i="62"/>
  <c r="W18" i="62"/>
  <c r="W21" i="62"/>
  <c r="W23" i="62"/>
  <c r="W24" i="62"/>
  <c r="W25" i="62"/>
  <c r="C26" i="62"/>
  <c r="D26" i="62"/>
  <c r="E26" i="62"/>
  <c r="F26" i="62"/>
  <c r="G26" i="62"/>
  <c r="H26" i="62"/>
  <c r="I26" i="62"/>
  <c r="J26" i="62"/>
  <c r="K26" i="62"/>
  <c r="L26" i="62"/>
  <c r="M26" i="62"/>
  <c r="N26" i="62"/>
  <c r="P26" i="62"/>
  <c r="U28" i="62"/>
  <c r="V28" i="62"/>
  <c r="W28" i="62"/>
  <c r="U29" i="62"/>
  <c r="V29" i="62"/>
  <c r="W29" i="62"/>
  <c r="W32" i="62"/>
  <c r="A42" i="62"/>
  <c r="A37" i="62"/>
  <c r="W48" i="62"/>
  <c r="W49" i="62"/>
  <c r="W51" i="62"/>
  <c r="W53" i="62"/>
  <c r="W54" i="62"/>
  <c r="W55" i="62"/>
  <c r="C56" i="62"/>
  <c r="D56" i="62"/>
  <c r="E56" i="62"/>
  <c r="F56" i="62"/>
  <c r="G56" i="62"/>
  <c r="H56" i="62"/>
  <c r="I56" i="62"/>
  <c r="I66" i="62"/>
  <c r="J56" i="62"/>
  <c r="K56" i="62"/>
  <c r="L56" i="62"/>
  <c r="M56" i="62"/>
  <c r="N56" i="62"/>
  <c r="O56" i="62"/>
  <c r="P56" i="62"/>
  <c r="U58" i="62"/>
  <c r="V58" i="62"/>
  <c r="W58" i="62" s="1"/>
  <c r="U59" i="62"/>
  <c r="V59" i="62"/>
  <c r="W59" i="62"/>
  <c r="W62" i="62"/>
  <c r="W64" i="62"/>
  <c r="A3" i="60"/>
  <c r="N3" i="60"/>
  <c r="A4" i="60"/>
  <c r="A38" i="60"/>
  <c r="N4" i="60"/>
  <c r="A5" i="60"/>
  <c r="N5" i="60"/>
  <c r="W24" i="60"/>
  <c r="W25" i="60"/>
  <c r="U28" i="60"/>
  <c r="V28" i="60"/>
  <c r="W28" i="60"/>
  <c r="U29" i="60"/>
  <c r="V29" i="60"/>
  <c r="W29" i="60"/>
  <c r="W33" i="60"/>
  <c r="W34" i="60"/>
  <c r="A42" i="60"/>
  <c r="A37" i="60"/>
  <c r="A40" i="60"/>
  <c r="W49" i="60"/>
  <c r="W52" i="60"/>
  <c r="W53" i="60"/>
  <c r="W54" i="60"/>
  <c r="U58" i="60"/>
  <c r="V58" i="60"/>
  <c r="W58" i="60"/>
  <c r="U59" i="60"/>
  <c r="V59" i="60"/>
  <c r="W62" i="60"/>
  <c r="U28" i="1"/>
  <c r="V28" i="1"/>
  <c r="W28" i="1"/>
  <c r="U29" i="1"/>
  <c r="V29" i="1"/>
  <c r="U59" i="1"/>
  <c r="V59" i="1"/>
  <c r="W59" i="1"/>
  <c r="V58" i="1"/>
  <c r="U58" i="1"/>
  <c r="W58" i="1"/>
  <c r="D34" i="23"/>
  <c r="J23" i="25"/>
  <c r="I1" i="20"/>
  <c r="D31" i="23"/>
  <c r="E28" i="25"/>
  <c r="H28" i="25"/>
  <c r="K28" i="25"/>
  <c r="K27" i="25"/>
  <c r="K26" i="25"/>
  <c r="K18" i="25"/>
  <c r="F18" i="40"/>
  <c r="J26" i="25"/>
  <c r="I26" i="25"/>
  <c r="O1" i="25"/>
  <c r="J18" i="25"/>
  <c r="I18" i="25"/>
  <c r="L1" i="40"/>
  <c r="D32" i="23"/>
  <c r="M1" i="14"/>
  <c r="P64" i="53"/>
  <c r="O64" i="53"/>
  <c r="N64" i="53"/>
  <c r="M64" i="53"/>
  <c r="L64" i="53"/>
  <c r="I64" i="53"/>
  <c r="H64" i="53"/>
  <c r="G64" i="53"/>
  <c r="E64" i="53"/>
  <c r="D64" i="53"/>
  <c r="C64" i="53"/>
  <c r="P63" i="53"/>
  <c r="O63" i="53"/>
  <c r="K63" i="53"/>
  <c r="H63" i="53"/>
  <c r="G63" i="53"/>
  <c r="F63" i="53"/>
  <c r="D63" i="53"/>
  <c r="C63" i="53"/>
  <c r="P62" i="53"/>
  <c r="L62" i="53"/>
  <c r="K62" i="53"/>
  <c r="J62" i="53"/>
  <c r="I62" i="53"/>
  <c r="H62" i="53"/>
  <c r="G62" i="53"/>
  <c r="F62" i="53"/>
  <c r="E62" i="53"/>
  <c r="D62" i="53"/>
  <c r="C62" i="53"/>
  <c r="P59" i="53"/>
  <c r="O59" i="53"/>
  <c r="J59" i="53"/>
  <c r="I59" i="53"/>
  <c r="H59" i="53"/>
  <c r="G59" i="53"/>
  <c r="E59" i="53"/>
  <c r="D59" i="53"/>
  <c r="N58" i="53"/>
  <c r="M58" i="53"/>
  <c r="L58" i="53"/>
  <c r="K58" i="53"/>
  <c r="J58" i="53"/>
  <c r="I58" i="53"/>
  <c r="F58" i="53"/>
  <c r="D58" i="53"/>
  <c r="C58" i="53"/>
  <c r="P55" i="53"/>
  <c r="O55" i="53"/>
  <c r="N55" i="53"/>
  <c r="M55" i="53"/>
  <c r="L55" i="53"/>
  <c r="J55" i="53"/>
  <c r="I55" i="53"/>
  <c r="H55" i="53"/>
  <c r="F55" i="53"/>
  <c r="E55" i="53"/>
  <c r="D55" i="53"/>
  <c r="C55" i="53"/>
  <c r="P54" i="53"/>
  <c r="O54" i="53"/>
  <c r="N54" i="53"/>
  <c r="M54" i="53"/>
  <c r="L54" i="53"/>
  <c r="I54" i="53"/>
  <c r="H54" i="53"/>
  <c r="G54" i="53"/>
  <c r="F54" i="53"/>
  <c r="E54" i="53"/>
  <c r="D54" i="53"/>
  <c r="C54" i="53"/>
  <c r="P53" i="53"/>
  <c r="K53" i="53"/>
  <c r="I53" i="53"/>
  <c r="H53" i="53"/>
  <c r="G53" i="53"/>
  <c r="F53" i="53"/>
  <c r="D53" i="53"/>
  <c r="L52" i="53"/>
  <c r="K52" i="53"/>
  <c r="J52" i="53"/>
  <c r="I52" i="53"/>
  <c r="H52" i="53"/>
  <c r="G52" i="53"/>
  <c r="F52" i="53"/>
  <c r="E52" i="53"/>
  <c r="D52" i="53"/>
  <c r="C52" i="53"/>
  <c r="P51" i="53"/>
  <c r="O51" i="53"/>
  <c r="L51" i="53"/>
  <c r="K51" i="53"/>
  <c r="I51" i="53"/>
  <c r="H51" i="53"/>
  <c r="E51" i="53"/>
  <c r="D51" i="53"/>
  <c r="C51" i="53"/>
  <c r="P49" i="53"/>
  <c r="O49" i="53"/>
  <c r="M49" i="53"/>
  <c r="L49" i="53"/>
  <c r="K49" i="53"/>
  <c r="J49" i="53"/>
  <c r="I49" i="53"/>
  <c r="H49" i="53"/>
  <c r="E49" i="53"/>
  <c r="D49" i="53"/>
  <c r="O48" i="53"/>
  <c r="N48" i="53"/>
  <c r="M48" i="53"/>
  <c r="L48" i="53"/>
  <c r="I48" i="53"/>
  <c r="H48" i="53"/>
  <c r="G48" i="53"/>
  <c r="E48" i="53"/>
  <c r="D48" i="53"/>
  <c r="C48" i="53"/>
  <c r="P34" i="53"/>
  <c r="O34" i="53"/>
  <c r="N34" i="53"/>
  <c r="M34" i="53"/>
  <c r="L34" i="53"/>
  <c r="K34" i="53"/>
  <c r="J34" i="53"/>
  <c r="I34" i="53"/>
  <c r="H34" i="53"/>
  <c r="E34" i="53"/>
  <c r="D34" i="53"/>
  <c r="C34" i="53"/>
  <c r="P33" i="53"/>
  <c r="O33" i="53"/>
  <c r="N33" i="53"/>
  <c r="M33" i="53"/>
  <c r="J33" i="53"/>
  <c r="I33" i="53"/>
  <c r="H33" i="53"/>
  <c r="F33" i="53"/>
  <c r="E33" i="53"/>
  <c r="C33" i="53"/>
  <c r="P32" i="53"/>
  <c r="O32" i="53"/>
  <c r="N32" i="53"/>
  <c r="M32" i="53"/>
  <c r="I32" i="53"/>
  <c r="H32" i="53"/>
  <c r="G32" i="53"/>
  <c r="E32" i="53"/>
  <c r="D32" i="53"/>
  <c r="C32" i="53"/>
  <c r="P29" i="53"/>
  <c r="N29" i="53"/>
  <c r="M29" i="53"/>
  <c r="J29" i="53"/>
  <c r="G29" i="53"/>
  <c r="F29" i="53"/>
  <c r="E29" i="53"/>
  <c r="D29" i="53"/>
  <c r="C29" i="53"/>
  <c r="P28" i="53"/>
  <c r="O28" i="53"/>
  <c r="N28" i="53"/>
  <c r="K28" i="53"/>
  <c r="J28" i="53"/>
  <c r="I28" i="53"/>
  <c r="H28" i="53"/>
  <c r="G28" i="53"/>
  <c r="F28" i="53"/>
  <c r="C28" i="53"/>
  <c r="P25" i="53"/>
  <c r="O25" i="53"/>
  <c r="N25" i="53"/>
  <c r="M25" i="53"/>
  <c r="L25" i="53"/>
  <c r="K25" i="53"/>
  <c r="J25" i="53"/>
  <c r="I25" i="53"/>
  <c r="H25" i="53"/>
  <c r="G25" i="53"/>
  <c r="F25" i="53"/>
  <c r="E25" i="53"/>
  <c r="D25" i="53"/>
  <c r="P24" i="53"/>
  <c r="O24" i="53"/>
  <c r="N24" i="53"/>
  <c r="M24" i="53"/>
  <c r="L24" i="53"/>
  <c r="K24" i="53"/>
  <c r="J24" i="53"/>
  <c r="I24" i="53"/>
  <c r="F24" i="53"/>
  <c r="E24" i="53"/>
  <c r="D24" i="53"/>
  <c r="C24" i="53"/>
  <c r="P23" i="53"/>
  <c r="O23" i="53"/>
  <c r="K23" i="53"/>
  <c r="J23" i="53"/>
  <c r="I23" i="53"/>
  <c r="H23" i="53"/>
  <c r="G23" i="53"/>
  <c r="E23" i="53"/>
  <c r="D23" i="53"/>
  <c r="C23" i="53"/>
  <c r="I22" i="53"/>
  <c r="G22" i="53"/>
  <c r="E22" i="53"/>
  <c r="D22" i="53"/>
  <c r="C22" i="53"/>
  <c r="O21" i="53"/>
  <c r="N21" i="53"/>
  <c r="M21" i="53"/>
  <c r="J21" i="53"/>
  <c r="H21" i="53"/>
  <c r="D21" i="53"/>
  <c r="C21" i="53"/>
  <c r="P19" i="53"/>
  <c r="H19" i="53"/>
  <c r="E19" i="53"/>
  <c r="P18" i="53"/>
  <c r="O18" i="53"/>
  <c r="M18" i="53"/>
  <c r="J18" i="53"/>
  <c r="H18" i="53"/>
  <c r="G18" i="53"/>
  <c r="D18" i="53"/>
  <c r="C18" i="53"/>
  <c r="A3" i="53"/>
  <c r="N3" i="53"/>
  <c r="A4" i="53"/>
  <c r="A38" i="53"/>
  <c r="N4" i="53"/>
  <c r="A5" i="53"/>
  <c r="N5" i="53"/>
  <c r="A40" i="53"/>
  <c r="A42" i="53"/>
  <c r="A3" i="52"/>
  <c r="N3" i="52"/>
  <c r="A4" i="52"/>
  <c r="A38" i="52"/>
  <c r="N4" i="52"/>
  <c r="A5" i="52"/>
  <c r="N5" i="52"/>
  <c r="A37" i="52"/>
  <c r="A40" i="52"/>
  <c r="A42" i="52"/>
  <c r="L20" i="14"/>
  <c r="L16" i="14"/>
  <c r="L17" i="14"/>
  <c r="L18" i="14"/>
  <c r="L19" i="14"/>
  <c r="L21" i="14"/>
  <c r="L22" i="14"/>
  <c r="L23" i="14"/>
  <c r="L24" i="14"/>
  <c r="L25" i="14"/>
  <c r="L26" i="14"/>
  <c r="L27" i="14"/>
  <c r="L28" i="14"/>
  <c r="L34" i="14"/>
  <c r="L35" i="14"/>
  <c r="L36" i="14"/>
  <c r="L37" i="14"/>
  <c r="L38" i="14"/>
  <c r="L39" i="14"/>
  <c r="L40" i="14"/>
  <c r="L41" i="14"/>
  <c r="L42" i="14"/>
  <c r="L43" i="14"/>
  <c r="L44" i="14"/>
  <c r="L45" i="14"/>
  <c r="L46" i="14"/>
  <c r="K16" i="14"/>
  <c r="K17" i="14"/>
  <c r="K18" i="14"/>
  <c r="K19" i="14"/>
  <c r="K20" i="14"/>
  <c r="K21" i="14"/>
  <c r="K22" i="14"/>
  <c r="K23" i="14"/>
  <c r="K24" i="14"/>
  <c r="K25" i="14"/>
  <c r="K26" i="14"/>
  <c r="K27" i="14"/>
  <c r="K28" i="14"/>
  <c r="K45" i="14"/>
  <c r="K34" i="14"/>
  <c r="K37" i="14"/>
  <c r="K38" i="14"/>
  <c r="K39" i="14"/>
  <c r="K40" i="14"/>
  <c r="K41" i="14"/>
  <c r="K42" i="14"/>
  <c r="K43" i="14"/>
  <c r="K44" i="14"/>
  <c r="K46" i="14"/>
  <c r="J48" i="14"/>
  <c r="I48" i="14"/>
  <c r="H48" i="14"/>
  <c r="F48" i="14"/>
  <c r="E48" i="14"/>
  <c r="G48" i="14"/>
  <c r="D48" i="14"/>
  <c r="C48" i="14"/>
  <c r="J30" i="14"/>
  <c r="J52" i="14"/>
  <c r="I30" i="14"/>
  <c r="H30" i="14"/>
  <c r="G30" i="14"/>
  <c r="F30" i="14"/>
  <c r="E30" i="14"/>
  <c r="D30" i="14"/>
  <c r="C30" i="14"/>
  <c r="E1" i="15"/>
  <c r="D27" i="23"/>
  <c r="C76" i="15"/>
  <c r="C82" i="15"/>
  <c r="D76" i="15"/>
  <c r="E21" i="15"/>
  <c r="E15" i="15"/>
  <c r="E54" i="15"/>
  <c r="E36" i="15"/>
  <c r="E47" i="15"/>
  <c r="E20" i="15"/>
  <c r="E73" i="15"/>
  <c r="E75" i="15"/>
  <c r="E74" i="15"/>
  <c r="E72" i="15"/>
  <c r="E71" i="15"/>
  <c r="E70" i="15"/>
  <c r="E69" i="15"/>
  <c r="E68" i="15"/>
  <c r="E67" i="15"/>
  <c r="E66" i="15"/>
  <c r="E65" i="15"/>
  <c r="E64" i="15"/>
  <c r="E63" i="15"/>
  <c r="E62" i="15"/>
  <c r="E61" i="15"/>
  <c r="E60" i="15"/>
  <c r="E59" i="15"/>
  <c r="E58" i="15"/>
  <c r="E57" i="15"/>
  <c r="E56" i="15"/>
  <c r="E55" i="15"/>
  <c r="E53" i="15"/>
  <c r="E52" i="15"/>
  <c r="E51" i="15"/>
  <c r="E50" i="15"/>
  <c r="E49" i="15"/>
  <c r="E48" i="15"/>
  <c r="E46" i="15"/>
  <c r="E45" i="15"/>
  <c r="E44" i="15"/>
  <c r="E43" i="15"/>
  <c r="E42" i="15"/>
  <c r="E41" i="15"/>
  <c r="E40" i="15"/>
  <c r="E39" i="15"/>
  <c r="E38" i="15"/>
  <c r="E37" i="15"/>
  <c r="E35" i="15"/>
  <c r="E34" i="15"/>
  <c r="E33" i="15"/>
  <c r="E32" i="15"/>
  <c r="E31" i="15"/>
  <c r="E30" i="15"/>
  <c r="E29" i="15"/>
  <c r="E28" i="15"/>
  <c r="E27" i="15"/>
  <c r="E26" i="15"/>
  <c r="E25" i="15"/>
  <c r="E24" i="15"/>
  <c r="E23" i="15"/>
  <c r="E22" i="15"/>
  <c r="E19" i="15"/>
  <c r="E18" i="15"/>
  <c r="E17" i="15"/>
  <c r="E16" i="15"/>
  <c r="O1" i="27"/>
  <c r="O1" i="16"/>
  <c r="D29" i="23"/>
  <c r="D19" i="25"/>
  <c r="D28" i="25"/>
  <c r="G19" i="25"/>
  <c r="G28" i="25"/>
  <c r="G29" i="25" s="1"/>
  <c r="J28" i="25"/>
  <c r="N29" i="25"/>
  <c r="C19" i="25"/>
  <c r="C28" i="25"/>
  <c r="C29" i="25"/>
  <c r="F19" i="25"/>
  <c r="I19" i="25" s="1"/>
  <c r="F28" i="25"/>
  <c r="I28" i="25"/>
  <c r="M29" i="25"/>
  <c r="N28" i="25"/>
  <c r="M28" i="25"/>
  <c r="J27" i="25"/>
  <c r="N26" i="25"/>
  <c r="M26" i="25"/>
  <c r="J24" i="25"/>
  <c r="I24" i="25"/>
  <c r="I23" i="25"/>
  <c r="M23" i="25"/>
  <c r="J22" i="25"/>
  <c r="N22" i="25"/>
  <c r="I22" i="25"/>
  <c r="M22" i="25"/>
  <c r="M19" i="25"/>
  <c r="M18" i="25"/>
  <c r="J17" i="25"/>
  <c r="I17" i="25"/>
  <c r="J15" i="25"/>
  <c r="I15" i="25"/>
  <c r="M15" i="25"/>
  <c r="J14" i="25"/>
  <c r="I14" i="25"/>
  <c r="J13" i="25"/>
  <c r="I13" i="25"/>
  <c r="M13" i="25"/>
  <c r="H19" i="25"/>
  <c r="E19" i="25"/>
  <c r="E29" i="25"/>
  <c r="I1" i="19"/>
  <c r="D34" i="19"/>
  <c r="D35" i="19"/>
  <c r="F34" i="19"/>
  <c r="F35" i="19"/>
  <c r="H35" i="19" s="1"/>
  <c r="D37" i="19"/>
  <c r="F37" i="19"/>
  <c r="H37" i="19" s="1"/>
  <c r="C34" i="19"/>
  <c r="C35" i="19"/>
  <c r="E34" i="19"/>
  <c r="E35" i="19"/>
  <c r="G35" i="19" s="1"/>
  <c r="E37" i="19"/>
  <c r="D23" i="19"/>
  <c r="D24" i="19"/>
  <c r="F23" i="19"/>
  <c r="F24" i="19"/>
  <c r="H24" i="19" s="1"/>
  <c r="C23" i="19"/>
  <c r="C24" i="19"/>
  <c r="E23" i="19"/>
  <c r="E24" i="19"/>
  <c r="C26" i="19"/>
  <c r="E26" i="19"/>
  <c r="D12" i="19"/>
  <c r="D13" i="19"/>
  <c r="F12" i="19"/>
  <c r="F13" i="19"/>
  <c r="E12" i="19"/>
  <c r="E13" i="19"/>
  <c r="E16" i="40"/>
  <c r="D16" i="40"/>
  <c r="F17" i="40"/>
  <c r="E23" i="40"/>
  <c r="D23" i="40"/>
  <c r="E42" i="40"/>
  <c r="F42" i="40"/>
  <c r="K36" i="40"/>
  <c r="J36" i="40"/>
  <c r="L36" i="40"/>
  <c r="F47" i="40"/>
  <c r="F46" i="40"/>
  <c r="F45" i="40"/>
  <c r="F44" i="40"/>
  <c r="F43" i="40"/>
  <c r="F39" i="40"/>
  <c r="F37" i="40"/>
  <c r="F35" i="40"/>
  <c r="F34" i="40"/>
  <c r="F33" i="40"/>
  <c r="F32" i="40"/>
  <c r="F31" i="40"/>
  <c r="F30" i="40"/>
  <c r="F29" i="40"/>
  <c r="F28" i="40"/>
  <c r="F27" i="40"/>
  <c r="F26" i="40"/>
  <c r="F25" i="40"/>
  <c r="F24" i="40"/>
  <c r="F21" i="40"/>
  <c r="F20" i="40"/>
  <c r="F19" i="40"/>
  <c r="L45" i="40"/>
  <c r="L41" i="40"/>
  <c r="L40" i="40"/>
  <c r="L39" i="40"/>
  <c r="L38" i="40"/>
  <c r="L37" i="40"/>
  <c r="L32" i="40"/>
  <c r="L31" i="40"/>
  <c r="L30" i="40"/>
  <c r="L29" i="40"/>
  <c r="L28" i="40"/>
  <c r="L27" i="40"/>
  <c r="L26" i="40"/>
  <c r="L25" i="40"/>
  <c r="L24" i="40"/>
  <c r="L23" i="40"/>
  <c r="L22" i="40"/>
  <c r="L21" i="40"/>
  <c r="L20" i="40"/>
  <c r="L19" i="40"/>
  <c r="L18" i="40"/>
  <c r="L17" i="40"/>
  <c r="L16" i="40"/>
  <c r="L15" i="40"/>
  <c r="L14" i="40"/>
  <c r="L13" i="40"/>
  <c r="A42" i="1"/>
  <c r="A37" i="1"/>
  <c r="W53" i="1"/>
  <c r="W54" i="1"/>
  <c r="W51" i="1"/>
  <c r="W64" i="1"/>
  <c r="W22" i="1"/>
  <c r="W24" i="1"/>
  <c r="A40" i="1"/>
  <c r="A38" i="1"/>
  <c r="H5" i="20"/>
  <c r="H4" i="20"/>
  <c r="H3" i="20"/>
  <c r="A5" i="20"/>
  <c r="A4" i="20"/>
  <c r="A3" i="20"/>
  <c r="H5" i="14"/>
  <c r="H6" i="14"/>
  <c r="H4" i="14"/>
  <c r="E52" i="14"/>
  <c r="G52" i="14"/>
  <c r="A5" i="14"/>
  <c r="A6" i="14"/>
  <c r="A4" i="14"/>
  <c r="G23" i="16"/>
  <c r="J23" i="16"/>
  <c r="G26" i="16"/>
  <c r="J26" i="16"/>
  <c r="G27" i="16"/>
  <c r="J27" i="16"/>
  <c r="F23" i="16"/>
  <c r="I23" i="16"/>
  <c r="F24" i="16"/>
  <c r="I24" i="16"/>
  <c r="F26" i="16"/>
  <c r="I26" i="16"/>
  <c r="F27" i="16"/>
  <c r="I27" i="16"/>
  <c r="D14" i="16"/>
  <c r="J14" i="16"/>
  <c r="D17" i="16"/>
  <c r="J17" i="16"/>
  <c r="D18" i="16"/>
  <c r="J18" i="16"/>
  <c r="C15" i="16"/>
  <c r="I15" i="16"/>
  <c r="C17" i="16"/>
  <c r="C18" i="16"/>
  <c r="I18" i="16"/>
  <c r="A8" i="16"/>
  <c r="A7" i="16"/>
  <c r="A6" i="16"/>
  <c r="K26" i="16"/>
  <c r="E19" i="16"/>
  <c r="E28" i="16"/>
  <c r="E29" i="16" s="1"/>
  <c r="H28" i="16"/>
  <c r="H19" i="16"/>
  <c r="H29" i="16" s="1"/>
  <c r="K27" i="16"/>
  <c r="K24" i="16"/>
  <c r="K23" i="16"/>
  <c r="K22" i="16"/>
  <c r="K18" i="16"/>
  <c r="K17" i="16"/>
  <c r="K15" i="16"/>
  <c r="K14" i="16"/>
  <c r="K13" i="16"/>
  <c r="A4" i="16"/>
  <c r="A3" i="16"/>
  <c r="K11" i="16"/>
  <c r="J14" i="27"/>
  <c r="J17" i="27"/>
  <c r="N17" i="27"/>
  <c r="J18" i="27"/>
  <c r="N18" i="27"/>
  <c r="J23" i="27"/>
  <c r="N23" i="27"/>
  <c r="J26" i="27"/>
  <c r="N26" i="27"/>
  <c r="J27" i="27"/>
  <c r="N27" i="27"/>
  <c r="K19" i="27"/>
  <c r="K28" i="27"/>
  <c r="K29" i="27" s="1"/>
  <c r="I14" i="27"/>
  <c r="I15" i="27"/>
  <c r="M15" i="27"/>
  <c r="I17" i="27"/>
  <c r="I18" i="27"/>
  <c r="I23" i="27"/>
  <c r="M23" i="27"/>
  <c r="I24" i="27"/>
  <c r="M24" i="27"/>
  <c r="I26" i="27"/>
  <c r="M26" i="27"/>
  <c r="I27" i="27"/>
  <c r="M27" i="27"/>
  <c r="M18" i="27"/>
  <c r="M17" i="27"/>
  <c r="M14" i="27"/>
  <c r="A8" i="27"/>
  <c r="A7" i="27"/>
  <c r="A6" i="27"/>
  <c r="A4" i="27"/>
  <c r="A3" i="27"/>
  <c r="K11" i="27"/>
  <c r="A8" i="25"/>
  <c r="A7" i="25"/>
  <c r="A6" i="25"/>
  <c r="I27" i="25"/>
  <c r="K24" i="25"/>
  <c r="K23" i="25"/>
  <c r="K22" i="25"/>
  <c r="K17" i="25"/>
  <c r="K15" i="25"/>
  <c r="K14" i="25"/>
  <c r="K13" i="25"/>
  <c r="A4" i="25"/>
  <c r="A3" i="25"/>
  <c r="K11" i="25"/>
  <c r="D6" i="15"/>
  <c r="D5" i="15"/>
  <c r="A6" i="15"/>
  <c r="A5" i="15"/>
  <c r="A4" i="15"/>
  <c r="G5" i="19"/>
  <c r="A5" i="19"/>
  <c r="G4" i="19"/>
  <c r="A4" i="19"/>
  <c r="G3" i="19"/>
  <c r="A3" i="19"/>
  <c r="H33" i="19"/>
  <c r="G33" i="19"/>
  <c r="H32" i="19"/>
  <c r="G32" i="19"/>
  <c r="H23" i="19"/>
  <c r="H22" i="19"/>
  <c r="G22" i="19"/>
  <c r="H21" i="19"/>
  <c r="G21" i="19"/>
  <c r="H10" i="19"/>
  <c r="H11" i="19"/>
  <c r="G11" i="19"/>
  <c r="G10" i="19"/>
  <c r="I5" i="40"/>
  <c r="I4" i="40"/>
  <c r="I3" i="40"/>
  <c r="A4" i="40"/>
  <c r="A5" i="40"/>
  <c r="H29" i="25"/>
  <c r="D28" i="72"/>
  <c r="D32" i="72"/>
  <c r="D39" i="72"/>
  <c r="D43" i="72"/>
  <c r="K19" i="25"/>
  <c r="G23" i="19"/>
  <c r="G34" i="19"/>
  <c r="H52" i="14"/>
  <c r="F52" i="14"/>
  <c r="V71" i="1"/>
  <c r="P56" i="52"/>
  <c r="P56" i="53"/>
  <c r="N66" i="62"/>
  <c r="L56" i="52"/>
  <c r="L56" i="53"/>
  <c r="H56" i="52"/>
  <c r="F66" i="62"/>
  <c r="P26" i="52"/>
  <c r="P26" i="53"/>
  <c r="M26" i="52"/>
  <c r="M26" i="53"/>
  <c r="I26" i="52"/>
  <c r="I26" i="53"/>
  <c r="G26" i="52"/>
  <c r="G26" i="53"/>
  <c r="E26" i="52"/>
  <c r="E26" i="53"/>
  <c r="U26" i="68"/>
  <c r="P66" i="70"/>
  <c r="V26" i="70"/>
  <c r="U58" i="52"/>
  <c r="U58" i="53"/>
  <c r="O26" i="52"/>
  <c r="O26" i="53"/>
  <c r="A8" i="73"/>
  <c r="A6" i="72"/>
  <c r="A6" i="73"/>
  <c r="A4" i="72"/>
  <c r="M56" i="52"/>
  <c r="M56" i="53"/>
  <c r="M66" i="62"/>
  <c r="E66" i="62"/>
  <c r="E56" i="52"/>
  <c r="E56" i="53"/>
  <c r="U56" i="62"/>
  <c r="C56" i="52"/>
  <c r="C56" i="53"/>
  <c r="V26" i="62"/>
  <c r="D26" i="52"/>
  <c r="D26" i="53"/>
  <c r="V56" i="68"/>
  <c r="V26" i="68"/>
  <c r="C66" i="70"/>
  <c r="U56" i="70"/>
  <c r="U26" i="70"/>
  <c r="W26" i="70" s="1"/>
  <c r="U28" i="52"/>
  <c r="U28" i="53"/>
  <c r="V58" i="52"/>
  <c r="W58" i="52"/>
  <c r="W58" i="53"/>
  <c r="I56" i="52"/>
  <c r="I56" i="53"/>
  <c r="J66" i="62"/>
  <c r="Q26" i="52"/>
  <c r="Q26" i="53"/>
  <c r="U26" i="62"/>
  <c r="D56" i="52"/>
  <c r="D56" i="53"/>
  <c r="V56" i="70"/>
  <c r="W56" i="70"/>
  <c r="T56" i="52"/>
  <c r="T56" i="53"/>
  <c r="R56" i="52"/>
  <c r="R56" i="53"/>
  <c r="M66" i="70"/>
  <c r="K66" i="68"/>
  <c r="K66" i="62"/>
  <c r="L66" i="68"/>
  <c r="L66" i="62"/>
  <c r="D66" i="68"/>
  <c r="D66" i="62"/>
  <c r="V65" i="62"/>
  <c r="S66" i="63"/>
  <c r="S65" i="52"/>
  <c r="S65" i="53"/>
  <c r="S35" i="52"/>
  <c r="S35" i="53"/>
  <c r="R26" i="52"/>
  <c r="R26" i="53"/>
  <c r="U35" i="60"/>
  <c r="U56" i="60"/>
  <c r="J56" i="52"/>
  <c r="J56" i="53"/>
  <c r="U65" i="60"/>
  <c r="M65" i="52"/>
  <c r="M65" i="53"/>
  <c r="I65" i="52"/>
  <c r="E65" i="52"/>
  <c r="E65" i="53"/>
  <c r="J65" i="52"/>
  <c r="J65" i="53"/>
  <c r="U65" i="66"/>
  <c r="U65" i="70"/>
  <c r="U65" i="68"/>
  <c r="U65" i="65"/>
  <c r="U65" i="64"/>
  <c r="U65" i="63"/>
  <c r="U65" i="61"/>
  <c r="S66" i="68"/>
  <c r="O66" i="68"/>
  <c r="O66" i="62"/>
  <c r="I66" i="70"/>
  <c r="G66" i="68"/>
  <c r="G66" i="62"/>
  <c r="N66" i="70"/>
  <c r="J66" i="61"/>
  <c r="V65" i="61"/>
  <c r="F66" i="70"/>
  <c r="F66" i="63"/>
  <c r="V65" i="63"/>
  <c r="T65" i="52"/>
  <c r="T65" i="53"/>
  <c r="T35" i="52"/>
  <c r="T35" i="53"/>
  <c r="R66" i="63"/>
  <c r="R65" i="52"/>
  <c r="R35" i="52"/>
  <c r="R35" i="53"/>
  <c r="Q66" i="70"/>
  <c r="Q56" i="52"/>
  <c r="Q56" i="53"/>
  <c r="Q66" i="62"/>
  <c r="E66" i="70"/>
  <c r="C66" i="68"/>
  <c r="C66" i="62"/>
  <c r="P66" i="68"/>
  <c r="P66" i="62"/>
  <c r="J66" i="70"/>
  <c r="H66" i="68"/>
  <c r="H66" i="62"/>
  <c r="T66" i="70"/>
  <c r="T66" i="62"/>
  <c r="S66" i="70"/>
  <c r="S66" i="62"/>
  <c r="R66" i="70"/>
  <c r="R66" i="62"/>
  <c r="Q66" i="68"/>
  <c r="H56" i="53"/>
  <c r="E66" i="68"/>
  <c r="O7" i="73"/>
  <c r="O6" i="73"/>
  <c r="O8" i="73"/>
  <c r="I5" i="74"/>
  <c r="A5" i="72"/>
  <c r="A7" i="73"/>
  <c r="F4" i="72"/>
  <c r="A3" i="40"/>
  <c r="A1" i="64"/>
  <c r="B37" i="64"/>
  <c r="A1" i="65"/>
  <c r="B37" i="65"/>
  <c r="A1" i="62"/>
  <c r="B37" i="62"/>
  <c r="A1" i="70"/>
  <c r="B37" i="70"/>
  <c r="A1" i="72"/>
  <c r="W65" i="61"/>
  <c r="N26" i="52"/>
  <c r="N26" i="53"/>
  <c r="H26" i="52"/>
  <c r="H26" i="53"/>
  <c r="W58" i="61"/>
  <c r="L66" i="70"/>
  <c r="D66" i="70"/>
  <c r="W28" i="70"/>
  <c r="N14" i="27"/>
  <c r="J66" i="68"/>
  <c r="O66" i="70"/>
  <c r="O56" i="52"/>
  <c r="O56" i="53"/>
  <c r="I17" i="16"/>
  <c r="W59" i="60"/>
  <c r="F26" i="52"/>
  <c r="F26" i="53"/>
  <c r="W29" i="64"/>
  <c r="U29" i="52"/>
  <c r="U29" i="53"/>
  <c r="V56" i="62"/>
  <c r="W56" i="62"/>
  <c r="U32" i="52"/>
  <c r="U32" i="53"/>
  <c r="U34" i="52"/>
  <c r="U34" i="53"/>
  <c r="U49" i="52"/>
  <c r="U49" i="53"/>
  <c r="U54" i="52"/>
  <c r="U54" i="53"/>
  <c r="U62" i="52"/>
  <c r="U62" i="53"/>
  <c r="U64" i="52"/>
  <c r="U35" i="66"/>
  <c r="O66" i="66"/>
  <c r="G35" i="52"/>
  <c r="G66" i="1"/>
  <c r="U35" i="68"/>
  <c r="U65" i="62"/>
  <c r="N66" i="66"/>
  <c r="N66" i="61"/>
  <c r="V56" i="61"/>
  <c r="H66" i="66"/>
  <c r="V65" i="70"/>
  <c r="H65" i="52"/>
  <c r="H65" i="53"/>
  <c r="V35" i="61"/>
  <c r="F35" i="52"/>
  <c r="F35" i="53"/>
  <c r="V56" i="65"/>
  <c r="H66" i="70"/>
  <c r="U18" i="52"/>
  <c r="V24" i="52"/>
  <c r="V55" i="52"/>
  <c r="V55" i="53"/>
  <c r="V35" i="64"/>
  <c r="U35" i="63"/>
  <c r="K35" i="52"/>
  <c r="K35" i="53"/>
  <c r="U56" i="63"/>
  <c r="G66" i="61"/>
  <c r="G65" i="52"/>
  <c r="G65" i="53"/>
  <c r="E66" i="66"/>
  <c r="U56" i="66"/>
  <c r="U35" i="70"/>
  <c r="V56" i="64"/>
  <c r="F66" i="64"/>
  <c r="V35" i="66"/>
  <c r="S66" i="64"/>
  <c r="Q66" i="66"/>
  <c r="F5" i="72"/>
  <c r="A5" i="74"/>
  <c r="A4" i="74"/>
  <c r="U23" i="52"/>
  <c r="U23" i="53"/>
  <c r="U33" i="52"/>
  <c r="U33" i="53"/>
  <c r="U52" i="52"/>
  <c r="U52" i="53"/>
  <c r="U53" i="52"/>
  <c r="U53" i="53"/>
  <c r="U55" i="52"/>
  <c r="U55" i="53"/>
  <c r="O66" i="1"/>
  <c r="U65" i="1"/>
  <c r="I35" i="52"/>
  <c r="I66" i="1"/>
  <c r="U56" i="65"/>
  <c r="U56" i="64"/>
  <c r="U35" i="65"/>
  <c r="W35" i="65"/>
  <c r="C66" i="60"/>
  <c r="C65" i="52"/>
  <c r="J66" i="64"/>
  <c r="F66" i="61"/>
  <c r="D66" i="1"/>
  <c r="V65" i="1"/>
  <c r="D65" i="52"/>
  <c r="D66" i="66"/>
  <c r="V26" i="60"/>
  <c r="Q66" i="63"/>
  <c r="A6" i="74"/>
  <c r="V25" i="52"/>
  <c r="V34" i="52"/>
  <c r="V34" i="53"/>
  <c r="V51" i="52"/>
  <c r="V51" i="53"/>
  <c r="V54" i="52"/>
  <c r="V54" i="53"/>
  <c r="M35" i="52"/>
  <c r="M35" i="53"/>
  <c r="N35" i="52"/>
  <c r="N35" i="53"/>
  <c r="V56" i="60"/>
  <c r="W56" i="60"/>
  <c r="M66" i="61"/>
  <c r="M66" i="60"/>
  <c r="K66" i="66"/>
  <c r="G66" i="64"/>
  <c r="G66" i="63"/>
  <c r="E35" i="52"/>
  <c r="E35" i="53"/>
  <c r="E66" i="65"/>
  <c r="E66" i="61"/>
  <c r="U26" i="60"/>
  <c r="P66" i="66"/>
  <c r="N66" i="1"/>
  <c r="N66" i="65"/>
  <c r="V65" i="65"/>
  <c r="W65" i="65" s="1"/>
  <c r="N66" i="60"/>
  <c r="V65" i="60"/>
  <c r="N65" i="52"/>
  <c r="N65" i="53"/>
  <c r="L66" i="61"/>
  <c r="H66" i="61"/>
  <c r="D66" i="65"/>
  <c r="D66" i="64"/>
  <c r="V65" i="64"/>
  <c r="T66" i="64"/>
  <c r="Q66" i="64"/>
  <c r="W54" i="52"/>
  <c r="W54" i="53"/>
  <c r="G35" i="53"/>
  <c r="V25" i="53"/>
  <c r="D65" i="53"/>
  <c r="I35" i="53"/>
  <c r="U66" i="70"/>
  <c r="V24" i="53"/>
  <c r="W65" i="62"/>
  <c r="C65" i="53"/>
  <c r="W65" i="70"/>
  <c r="E15" i="40"/>
  <c r="E13" i="40"/>
  <c r="K47" i="40"/>
  <c r="A1" i="68"/>
  <c r="B37" i="68"/>
  <c r="A1" i="63"/>
  <c r="B37" i="63"/>
  <c r="A1" i="60"/>
  <c r="B37" i="60"/>
  <c r="A1" i="66"/>
  <c r="B37" i="66"/>
  <c r="A61" i="23"/>
  <c r="A64" i="23"/>
  <c r="A1" i="52"/>
  <c r="B37" i="52"/>
  <c r="A1" i="73"/>
  <c r="A1" i="15"/>
  <c r="A1" i="53"/>
  <c r="B37" i="53"/>
  <c r="A78" i="15"/>
  <c r="B37" i="1"/>
  <c r="A1" i="14"/>
  <c r="A91" i="1"/>
  <c r="A2" i="66"/>
  <c r="A3" i="72"/>
  <c r="A1" i="61"/>
  <c r="B37" i="61"/>
  <c r="A2" i="63"/>
  <c r="A2" i="65"/>
  <c r="A2" i="1"/>
  <c r="A2" i="53"/>
  <c r="A2" i="62"/>
  <c r="A2" i="68"/>
  <c r="A2" i="70"/>
  <c r="A2" i="61"/>
  <c r="A2" i="60"/>
  <c r="K1" i="16"/>
  <c r="A3" i="76"/>
  <c r="R65" i="53"/>
  <c r="W26" i="68"/>
  <c r="V59" i="52"/>
  <c r="F59" i="53"/>
  <c r="C59" i="53"/>
  <c r="U59" i="52"/>
  <c r="U59" i="53"/>
  <c r="A90" i="1"/>
  <c r="W26" i="62"/>
  <c r="V58" i="53"/>
  <c r="H12" i="19"/>
  <c r="K29" i="25"/>
  <c r="L48" i="14"/>
  <c r="N24" i="25"/>
  <c r="N17" i="25"/>
  <c r="N14" i="25"/>
  <c r="N18" i="25"/>
  <c r="M24" i="25"/>
  <c r="M17" i="25"/>
  <c r="M14" i="25"/>
  <c r="N27" i="25"/>
  <c r="N23" i="25"/>
  <c r="N19" i="25"/>
  <c r="M27" i="25"/>
  <c r="N15" i="25"/>
  <c r="N13" i="25"/>
  <c r="G56" i="52"/>
  <c r="A93" i="1"/>
  <c r="A94" i="1"/>
  <c r="A3" i="14"/>
  <c r="A2" i="52"/>
  <c r="D29" i="25"/>
  <c r="J29" i="25"/>
  <c r="J19" i="25"/>
  <c r="A5" i="73"/>
  <c r="A2" i="40"/>
  <c r="A2" i="19"/>
  <c r="A3" i="15"/>
  <c r="W34" i="52"/>
  <c r="W34" i="53"/>
  <c r="V28" i="52"/>
  <c r="K56" i="52"/>
  <c r="K56" i="53"/>
  <c r="A3" i="74"/>
  <c r="A92" i="1"/>
  <c r="B19" i="73"/>
  <c r="K1" i="25"/>
  <c r="K1" i="27"/>
  <c r="A2" i="20"/>
  <c r="H34" i="19"/>
  <c r="C14" i="16"/>
  <c r="I14" i="16"/>
  <c r="C37" i="19"/>
  <c r="C38" i="19" s="1"/>
  <c r="G37" i="19"/>
  <c r="W29" i="1"/>
  <c r="U71" i="1"/>
  <c r="V29" i="52"/>
  <c r="L29" i="53"/>
  <c r="V21" i="52"/>
  <c r="V21" i="53"/>
  <c r="U51" i="52"/>
  <c r="U51" i="53"/>
  <c r="K65" i="52"/>
  <c r="F29" i="25"/>
  <c r="I29" i="25"/>
  <c r="F19" i="53"/>
  <c r="P65" i="52"/>
  <c r="P65" i="53"/>
  <c r="D4" i="15"/>
  <c r="F65" i="52"/>
  <c r="F65" i="53"/>
  <c r="P66" i="64"/>
  <c r="D66" i="61"/>
  <c r="D66" i="63"/>
  <c r="D66" i="52"/>
  <c r="I4" i="74"/>
  <c r="C25" i="53"/>
  <c r="W71" i="1"/>
  <c r="G56" i="53"/>
  <c r="V59" i="53"/>
  <c r="W59" i="52"/>
  <c r="W59" i="53"/>
  <c r="V28" i="53"/>
  <c r="W28" i="52"/>
  <c r="W28" i="53"/>
  <c r="A1" i="40"/>
  <c r="E9" i="20"/>
  <c r="A9" i="73"/>
  <c r="A1" i="20"/>
  <c r="A1" i="74"/>
  <c r="A1" i="16"/>
  <c r="A1" i="19"/>
  <c r="F9" i="20"/>
  <c r="A24" i="73"/>
  <c r="A1" i="27"/>
  <c r="A1" i="76"/>
  <c r="A1" i="25"/>
  <c r="D9" i="20"/>
  <c r="V29" i="53"/>
  <c r="W29" i="52"/>
  <c r="W29" i="53"/>
  <c r="I13" i="27"/>
  <c r="M13" i="27"/>
  <c r="I6" i="74"/>
  <c r="F6" i="72"/>
  <c r="D52" i="14"/>
  <c r="C52" i="14"/>
  <c r="K48" i="14"/>
  <c r="K30" i="14"/>
  <c r="L30" i="14"/>
  <c r="L52" i="14"/>
  <c r="F32" i="14"/>
  <c r="G32" i="14"/>
  <c r="H50" i="14"/>
  <c r="I50" i="14"/>
  <c r="I32" i="14"/>
  <c r="F50" i="14"/>
  <c r="E32" i="14"/>
  <c r="E50" i="14"/>
  <c r="D26" i="23"/>
  <c r="B26" i="23"/>
  <c r="H32" i="14"/>
  <c r="G50" i="14"/>
  <c r="K52" i="14"/>
  <c r="I52" i="14"/>
  <c r="C26" i="52"/>
  <c r="C26" i="53"/>
  <c r="C12" i="19"/>
  <c r="G12" i="19"/>
  <c r="C66" i="1"/>
  <c r="C66" i="52" s="1"/>
  <c r="C13" i="16"/>
  <c r="C19" i="16"/>
  <c r="K19" i="16"/>
  <c r="B27" i="23"/>
  <c r="E76" i="15"/>
  <c r="E77" i="15"/>
  <c r="E81" i="15"/>
  <c r="K28" i="16"/>
  <c r="K29" i="16"/>
  <c r="B29" i="23"/>
  <c r="D38" i="19"/>
  <c r="G38" i="19"/>
  <c r="D30" i="23"/>
  <c r="H38" i="19"/>
  <c r="V64" i="52"/>
  <c r="V64" i="53"/>
  <c r="U64" i="53"/>
  <c r="W63" i="1"/>
  <c r="U63" i="52"/>
  <c r="H66" i="1"/>
  <c r="I65" i="53"/>
  <c r="G24" i="16"/>
  <c r="J24" i="16"/>
  <c r="W65" i="1"/>
  <c r="V70" i="1"/>
  <c r="J24" i="27"/>
  <c r="N24" i="27"/>
  <c r="F26" i="19"/>
  <c r="J50" i="14"/>
  <c r="G26" i="19"/>
  <c r="W55" i="1"/>
  <c r="I15" i="73"/>
  <c r="R2" i="73"/>
  <c r="W55" i="52"/>
  <c r="W55" i="53"/>
  <c r="J66" i="1"/>
  <c r="W52" i="1"/>
  <c r="I22" i="27"/>
  <c r="M22" i="27"/>
  <c r="V52" i="52"/>
  <c r="T66" i="1"/>
  <c r="J22" i="27"/>
  <c r="N22" i="27"/>
  <c r="W49" i="1"/>
  <c r="U56" i="1"/>
  <c r="C50" i="14"/>
  <c r="E66" i="1"/>
  <c r="G22" i="16"/>
  <c r="J22" i="16"/>
  <c r="V56" i="1"/>
  <c r="G29" i="16"/>
  <c r="P66" i="1"/>
  <c r="V35" i="1"/>
  <c r="V33" i="52"/>
  <c r="W33" i="1"/>
  <c r="K66" i="1"/>
  <c r="D15" i="16"/>
  <c r="J15" i="16"/>
  <c r="D26" i="19"/>
  <c r="J15" i="27"/>
  <c r="N15" i="27"/>
  <c r="J32" i="14"/>
  <c r="M66" i="1"/>
  <c r="L66" i="1"/>
  <c r="W32" i="1"/>
  <c r="W35" i="1"/>
  <c r="U70" i="1"/>
  <c r="F66" i="1"/>
  <c r="D35" i="53"/>
  <c r="L26" i="52"/>
  <c r="L26" i="53"/>
  <c r="W23" i="1"/>
  <c r="D13" i="16"/>
  <c r="J13" i="16"/>
  <c r="U22" i="52"/>
  <c r="U22" i="53"/>
  <c r="J22" i="53"/>
  <c r="V26" i="1"/>
  <c r="D15" i="19"/>
  <c r="D16" i="19" s="1"/>
  <c r="S66" i="1"/>
  <c r="U21" i="52"/>
  <c r="W19" i="1"/>
  <c r="V19" i="52"/>
  <c r="V19" i="53"/>
  <c r="U19" i="52"/>
  <c r="C13" i="19"/>
  <c r="G13" i="19"/>
  <c r="U26" i="1"/>
  <c r="U66" i="1"/>
  <c r="W18" i="1"/>
  <c r="I12" i="73"/>
  <c r="J13" i="27"/>
  <c r="N13" i="27"/>
  <c r="I19" i="27"/>
  <c r="W64" i="52"/>
  <c r="W64" i="53"/>
  <c r="H26" i="19"/>
  <c r="W70" i="1"/>
  <c r="F29" i="16"/>
  <c r="K50" i="14"/>
  <c r="E15" i="19"/>
  <c r="E16" i="19" s="1"/>
  <c r="C32" i="14"/>
  <c r="K32" i="14"/>
  <c r="I14" i="73"/>
  <c r="F15" i="19"/>
  <c r="L50" i="14"/>
  <c r="G28" i="16"/>
  <c r="J28" i="16"/>
  <c r="U48" i="52"/>
  <c r="U48" i="53"/>
  <c r="W48" i="1"/>
  <c r="I13" i="73"/>
  <c r="I19" i="73"/>
  <c r="I21" i="73"/>
  <c r="I28" i="27"/>
  <c r="W56" i="1"/>
  <c r="V69" i="1"/>
  <c r="V72" i="1"/>
  <c r="K48" i="53"/>
  <c r="F22" i="16"/>
  <c r="V48" i="52"/>
  <c r="V48" i="53"/>
  <c r="F48" i="53"/>
  <c r="D50" i="14"/>
  <c r="J28" i="27"/>
  <c r="N28" i="27"/>
  <c r="H15" i="19"/>
  <c r="A79" i="73"/>
  <c r="A102" i="73"/>
  <c r="L32" i="14"/>
  <c r="D19" i="16"/>
  <c r="D29" i="16"/>
  <c r="J29" i="16"/>
  <c r="W26" i="1"/>
  <c r="U69" i="1"/>
  <c r="U72" i="1"/>
  <c r="J19" i="27"/>
  <c r="N19" i="27"/>
  <c r="V66" i="1"/>
  <c r="L53" i="14"/>
  <c r="D32" i="14"/>
  <c r="I13" i="16"/>
  <c r="M19" i="27"/>
  <c r="C15" i="19"/>
  <c r="G15" i="19"/>
  <c r="I19" i="16"/>
  <c r="C29" i="16"/>
  <c r="I29" i="16"/>
  <c r="K53" i="14"/>
  <c r="C23" i="23"/>
  <c r="B23" i="23"/>
  <c r="D25" i="23"/>
  <c r="J19" i="16"/>
  <c r="W69" i="1"/>
  <c r="W72" i="1"/>
  <c r="J29" i="27"/>
  <c r="N29" i="27"/>
  <c r="C83" i="15"/>
  <c r="M28" i="27"/>
  <c r="I29" i="27"/>
  <c r="M29" i="27"/>
  <c r="I22" i="16"/>
  <c r="F28" i="16"/>
  <c r="I28" i="16"/>
  <c r="W66" i="1"/>
  <c r="R1" i="73"/>
  <c r="D28" i="23"/>
  <c r="B81" i="15"/>
  <c r="E3" i="15"/>
  <c r="C84" i="15"/>
  <c r="H10" i="20"/>
  <c r="I2" i="20" s="1"/>
  <c r="B25" i="23"/>
  <c r="B3" i="15"/>
  <c r="C27" i="23"/>
  <c r="C28" i="23"/>
  <c r="B28" i="23"/>
  <c r="G24" i="19"/>
  <c r="G27" i="19"/>
  <c r="D27" i="19"/>
  <c r="H13" i="19"/>
  <c r="B30" i="23"/>
  <c r="H16" i="19"/>
  <c r="G16" i="19"/>
  <c r="H27" i="19"/>
  <c r="C27" i="19"/>
  <c r="F27" i="19"/>
  <c r="F16" i="19"/>
  <c r="E38" i="19"/>
  <c r="C16" i="19"/>
  <c r="E27" i="19"/>
  <c r="F38" i="19"/>
  <c r="I2" i="19"/>
  <c r="C30" i="23"/>
  <c r="V62" i="52"/>
  <c r="V62" i="53"/>
  <c r="W62" i="66"/>
  <c r="S56" i="52"/>
  <c r="S56" i="53"/>
  <c r="S66" i="66"/>
  <c r="I66" i="66"/>
  <c r="I66" i="52"/>
  <c r="I66" i="53"/>
  <c r="W52" i="52"/>
  <c r="W52" i="53"/>
  <c r="V56" i="66"/>
  <c r="W56" i="66"/>
  <c r="W51" i="66"/>
  <c r="V49" i="52"/>
  <c r="V49" i="53"/>
  <c r="F49" i="53"/>
  <c r="F56" i="52"/>
  <c r="F56" i="53"/>
  <c r="W33" i="66"/>
  <c r="W35" i="66"/>
  <c r="J66" i="66"/>
  <c r="H66" i="52"/>
  <c r="W23" i="66"/>
  <c r="W22" i="66"/>
  <c r="T26" i="52"/>
  <c r="T26" i="53"/>
  <c r="W21" i="66"/>
  <c r="W19" i="66"/>
  <c r="M66" i="66"/>
  <c r="V26" i="66"/>
  <c r="C6" i="53"/>
  <c r="C66" i="53"/>
  <c r="U26" i="66"/>
  <c r="U66" i="66"/>
  <c r="G66" i="52"/>
  <c r="G66" i="53"/>
  <c r="F66" i="66"/>
  <c r="V65" i="66"/>
  <c r="W65" i="66"/>
  <c r="L65" i="52"/>
  <c r="L65" i="53"/>
  <c r="L66" i="66"/>
  <c r="L66" i="65"/>
  <c r="W56" i="65"/>
  <c r="M66" i="65"/>
  <c r="V26" i="65"/>
  <c r="V66" i="65"/>
  <c r="V18" i="52"/>
  <c r="V18" i="53"/>
  <c r="U26" i="65"/>
  <c r="W65" i="64"/>
  <c r="N56" i="52"/>
  <c r="N56" i="53"/>
  <c r="W56" i="64"/>
  <c r="M66" i="64"/>
  <c r="N66" i="64"/>
  <c r="V26" i="64"/>
  <c r="V66" i="64"/>
  <c r="W22" i="64"/>
  <c r="L66" i="64"/>
  <c r="U26" i="64"/>
  <c r="W18" i="64"/>
  <c r="K66" i="64"/>
  <c r="V63" i="52"/>
  <c r="V63" i="53"/>
  <c r="W65" i="63"/>
  <c r="W62" i="52"/>
  <c r="W62" i="53"/>
  <c r="K66" i="63"/>
  <c r="W53" i="63"/>
  <c r="V52" i="53"/>
  <c r="W52" i="63"/>
  <c r="L66" i="63"/>
  <c r="J66" i="63"/>
  <c r="N66" i="63"/>
  <c r="N66" i="52"/>
  <c r="V56" i="63"/>
  <c r="W56" i="63"/>
  <c r="D66" i="53"/>
  <c r="D6" i="53"/>
  <c r="W48" i="52"/>
  <c r="W48" i="53"/>
  <c r="W33" i="52"/>
  <c r="W33" i="53"/>
  <c r="M66" i="63"/>
  <c r="W23" i="63"/>
  <c r="V23" i="52"/>
  <c r="V23" i="53"/>
  <c r="K26" i="52"/>
  <c r="K26" i="53"/>
  <c r="U26" i="63"/>
  <c r="U66" i="63"/>
  <c r="O66" i="52"/>
  <c r="O66" i="53"/>
  <c r="W22" i="63"/>
  <c r="P66" i="52"/>
  <c r="P6" i="53"/>
  <c r="W21" i="63"/>
  <c r="J26" i="52"/>
  <c r="J26" i="53"/>
  <c r="S26" i="52"/>
  <c r="S26" i="53"/>
  <c r="V26" i="63"/>
  <c r="T66" i="63"/>
  <c r="D24" i="23"/>
  <c r="C24" i="23"/>
  <c r="W18" i="63"/>
  <c r="W63" i="60"/>
  <c r="F66" i="60"/>
  <c r="U63" i="53"/>
  <c r="U65" i="52"/>
  <c r="U65" i="53"/>
  <c r="E66" i="60"/>
  <c r="E66" i="52"/>
  <c r="E66" i="53"/>
  <c r="W65" i="60"/>
  <c r="K65" i="53"/>
  <c r="W53" i="52"/>
  <c r="W53" i="53"/>
  <c r="W51" i="60"/>
  <c r="W51" i="52"/>
  <c r="W51" i="53"/>
  <c r="T66" i="60"/>
  <c r="V33" i="53"/>
  <c r="K66" i="60"/>
  <c r="V35" i="60"/>
  <c r="W35" i="60"/>
  <c r="V32" i="52"/>
  <c r="W32" i="52"/>
  <c r="W32" i="53"/>
  <c r="V32" i="53"/>
  <c r="L32" i="53"/>
  <c r="L66" i="60"/>
  <c r="L35" i="52"/>
  <c r="L35" i="53"/>
  <c r="J35" i="53"/>
  <c r="V66" i="60"/>
  <c r="J66" i="60"/>
  <c r="W23" i="60"/>
  <c r="V22" i="52"/>
  <c r="X1" i="52"/>
  <c r="W22" i="60"/>
  <c r="S66" i="60"/>
  <c r="H6" i="53"/>
  <c r="H66" i="53"/>
  <c r="W21" i="52"/>
  <c r="W21" i="53"/>
  <c r="W21" i="60"/>
  <c r="U21" i="53"/>
  <c r="W19" i="60"/>
  <c r="W19" i="52"/>
  <c r="W19" i="53"/>
  <c r="U19" i="53"/>
  <c r="O6" i="53"/>
  <c r="W26" i="60"/>
  <c r="U66" i="60"/>
  <c r="X1" i="53"/>
  <c r="E6" i="53"/>
  <c r="U18" i="53"/>
  <c r="U56" i="52"/>
  <c r="U56" i="53"/>
  <c r="S66" i="52"/>
  <c r="S66" i="53"/>
  <c r="V66" i="66"/>
  <c r="W66" i="66"/>
  <c r="W49" i="52"/>
  <c r="W49" i="53"/>
  <c r="F66" i="52"/>
  <c r="F66" i="53"/>
  <c r="S6" i="53"/>
  <c r="W26" i="66"/>
  <c r="G6" i="53"/>
  <c r="P66" i="53"/>
  <c r="W63" i="52"/>
  <c r="W63" i="53"/>
  <c r="V65" i="52"/>
  <c r="V65" i="53"/>
  <c r="V56" i="52"/>
  <c r="W56" i="52"/>
  <c r="W56" i="53"/>
  <c r="W18" i="52"/>
  <c r="W18" i="53"/>
  <c r="U66" i="65"/>
  <c r="W66" i="65"/>
  <c r="W26" i="65"/>
  <c r="M66" i="52"/>
  <c r="M66" i="53"/>
  <c r="W26" i="64"/>
  <c r="K66" i="52"/>
  <c r="N66" i="53"/>
  <c r="N6" i="53"/>
  <c r="J66" i="52"/>
  <c r="J66" i="53"/>
  <c r="L66" i="52"/>
  <c r="W26" i="63"/>
  <c r="W23" i="52"/>
  <c r="W23" i="53"/>
  <c r="U26" i="52"/>
  <c r="U26" i="53"/>
  <c r="I6" i="53"/>
  <c r="M6" i="53"/>
  <c r="V26" i="52"/>
  <c r="V26" i="53"/>
  <c r="J6" i="53"/>
  <c r="F6" i="53"/>
  <c r="B24" i="23"/>
  <c r="T66" i="52"/>
  <c r="W66" i="60"/>
  <c r="V35" i="52"/>
  <c r="V35" i="53"/>
  <c r="W22" i="52"/>
  <c r="W22" i="53"/>
  <c r="V22" i="53"/>
  <c r="V56" i="53"/>
  <c r="W65" i="52"/>
  <c r="W65" i="53"/>
  <c r="K66" i="53"/>
  <c r="K6" i="53"/>
  <c r="L66" i="53"/>
  <c r="L6" i="53"/>
  <c r="W26" i="52"/>
  <c r="W26" i="53"/>
  <c r="T66" i="53"/>
  <c r="T6" i="53"/>
  <c r="C31" i="23"/>
  <c r="B31" i="23"/>
  <c r="H16" i="20"/>
  <c r="F23" i="40"/>
  <c r="D15" i="40"/>
  <c r="D13" i="40"/>
  <c r="B32" i="23"/>
  <c r="F16" i="40"/>
  <c r="F15" i="40"/>
  <c r="J47" i="40"/>
  <c r="L47" i="40"/>
  <c r="F13" i="40"/>
  <c r="L2" i="40"/>
  <c r="C32" i="23"/>
  <c r="D3" i="40"/>
  <c r="B33" i="23"/>
  <c r="H2" i="72"/>
  <c r="C33" i="23"/>
  <c r="F24" i="74"/>
  <c r="H24" i="74"/>
  <c r="M3" i="14" l="1"/>
  <c r="C26" i="23" s="1"/>
  <c r="O2" i="25"/>
  <c r="C29" i="23" s="1"/>
  <c r="U56" i="68"/>
  <c r="U24" i="52"/>
  <c r="U25" i="52"/>
  <c r="U35" i="64"/>
  <c r="U35" i="62"/>
  <c r="U56" i="61"/>
  <c r="U35" i="61"/>
  <c r="W35" i="61" s="1"/>
  <c r="U26" i="61"/>
  <c r="V35" i="62"/>
  <c r="V66" i="62" s="1"/>
  <c r="V65" i="68"/>
  <c r="V35" i="70"/>
  <c r="V35" i="68"/>
  <c r="W35" i="68" s="1"/>
  <c r="V35" i="63"/>
  <c r="V26" i="61"/>
  <c r="R66" i="68"/>
  <c r="R66" i="52"/>
  <c r="Q66" i="60"/>
  <c r="Q66" i="52" s="1"/>
  <c r="Q35" i="52"/>
  <c r="Q35" i="53" l="1"/>
  <c r="Q6" i="53"/>
  <c r="U35" i="52"/>
  <c r="Q66" i="53"/>
  <c r="U66" i="52"/>
  <c r="U66" i="53" s="1"/>
  <c r="R6" i="53"/>
  <c r="R66" i="53"/>
  <c r="V66" i="52"/>
  <c r="W26" i="61"/>
  <c r="V66" i="61"/>
  <c r="W35" i="63"/>
  <c r="V66" i="63"/>
  <c r="W66" i="63" s="1"/>
  <c r="W35" i="70"/>
  <c r="V66" i="70"/>
  <c r="W66" i="70" s="1"/>
  <c r="W65" i="68"/>
  <c r="V66" i="68"/>
  <c r="U66" i="61"/>
  <c r="W66" i="61" s="1"/>
  <c r="W56" i="61"/>
  <c r="W35" i="62"/>
  <c r="U66" i="62"/>
  <c r="W66" i="62" s="1"/>
  <c r="W35" i="64"/>
  <c r="U66" i="64"/>
  <c r="W66" i="64" s="1"/>
  <c r="U25" i="53"/>
  <c r="W25" i="52"/>
  <c r="W25" i="53" s="1"/>
  <c r="U24" i="53"/>
  <c r="W24" i="52"/>
  <c r="U6" i="53"/>
  <c r="W56" i="68"/>
  <c r="U66" i="68"/>
  <c r="W66" i="68" s="1"/>
  <c r="W24" i="53" l="1"/>
  <c r="V66" i="53"/>
  <c r="V6" i="53"/>
  <c r="W66" i="52"/>
  <c r="W66" i="53" s="1"/>
  <c r="U35" i="53"/>
  <c r="W35" i="52"/>
  <c r="W35" i="53" l="1"/>
  <c r="W6" i="53"/>
  <c r="C7" i="53" s="1"/>
  <c r="C25" i="23" s="1"/>
</calcChain>
</file>

<file path=xl/sharedStrings.xml><?xml version="1.0" encoding="utf-8"?>
<sst xmlns="http://schemas.openxmlformats.org/spreadsheetml/2006/main" count="3410" uniqueCount="534">
  <si>
    <r>
      <t>IPEDS (</t>
    </r>
    <r>
      <rPr>
        <b/>
        <u/>
        <sz val="24"/>
        <rFont val="Times New Roman"/>
        <family val="1"/>
      </rPr>
      <t>I</t>
    </r>
    <r>
      <rPr>
        <b/>
        <sz val="24"/>
        <rFont val="Times New Roman"/>
        <family val="1"/>
      </rPr>
      <t xml:space="preserve">ntegrated </t>
    </r>
    <r>
      <rPr>
        <b/>
        <u/>
        <sz val="24"/>
        <rFont val="Times New Roman"/>
        <family val="1"/>
      </rPr>
      <t>P</t>
    </r>
    <r>
      <rPr>
        <b/>
        <sz val="24"/>
        <rFont val="Times New Roman"/>
        <family val="1"/>
      </rPr>
      <t xml:space="preserve">ostsecondary </t>
    </r>
    <r>
      <rPr>
        <b/>
        <u/>
        <sz val="24"/>
        <rFont val="Times New Roman"/>
        <family val="1"/>
      </rPr>
      <t>E</t>
    </r>
    <r>
      <rPr>
        <b/>
        <sz val="24"/>
        <rFont val="Times New Roman"/>
        <family val="1"/>
      </rPr>
      <t xml:space="preserve">ducation </t>
    </r>
    <r>
      <rPr>
        <b/>
        <u/>
        <sz val="24"/>
        <rFont val="Times New Roman"/>
        <family val="1"/>
      </rPr>
      <t>D</t>
    </r>
    <r>
      <rPr>
        <b/>
        <sz val="24"/>
        <rFont val="Times New Roman"/>
        <family val="1"/>
      </rPr>
      <t xml:space="preserve">ata </t>
    </r>
    <r>
      <rPr>
        <b/>
        <u/>
        <sz val="24"/>
        <rFont val="Times New Roman"/>
        <family val="1"/>
      </rPr>
      <t>S</t>
    </r>
    <r>
      <rPr>
        <b/>
        <sz val="24"/>
        <rFont val="Times New Roman"/>
        <family val="1"/>
      </rPr>
      <t>ystem)</t>
    </r>
  </si>
  <si>
    <t>Questions???:</t>
  </si>
  <si>
    <t>RETURN BY EMAIL TO:</t>
  </si>
  <si>
    <t>(Four-Year Colleges)</t>
  </si>
  <si>
    <t>Scott Ciecko (email: sciecko@ctohe.org)
Phone: (860) 947-1851
Fax:     (860) 947-1311</t>
  </si>
  <si>
    <t xml:space="preserve">sciecko@ctohe.org </t>
  </si>
  <si>
    <t>1. Institution:</t>
  </si>
  <si>
    <r>
      <t>2. UnitID (</t>
    </r>
    <r>
      <rPr>
        <b/>
        <sz val="12"/>
        <rFont val="Times New Roman"/>
        <family val="1"/>
      </rPr>
      <t>MANDATORY</t>
    </r>
    <r>
      <rPr>
        <sz val="12"/>
        <rFont val="Times New Roman"/>
        <family val="1"/>
      </rPr>
      <t xml:space="preserve">)
- </t>
    </r>
    <r>
      <rPr>
        <sz val="11"/>
        <rFont val="Times New Roman"/>
        <family val="1"/>
      </rPr>
      <t xml:space="preserve">6-digit school ID beginning with 1, 2, 3, or 4
- characters 3-8 of your IPEDS loginID
- go to http://nces.ed.gov/ipeds/cool/ and look it up
- </t>
    </r>
    <r>
      <rPr>
        <b/>
        <sz val="16"/>
        <rFont val="Times New Roman"/>
        <family val="1"/>
      </rPr>
      <t>NEEDED for data upload to IPEDS</t>
    </r>
  </si>
  <si>
    <t>3. Town:</t>
  </si>
  <si>
    <t>Western Connecticut State University</t>
  </si>
  <si>
    <t>Danbury</t>
  </si>
  <si>
    <t>4. Name of respondent</t>
  </si>
  <si>
    <t>5. Title of Respondent</t>
  </si>
  <si>
    <t>6. Phone (area code, number, ext.)</t>
  </si>
  <si>
    <t>Jerry Wilcox</t>
  </si>
  <si>
    <t>Director, Institutional Research and Assessment</t>
  </si>
  <si>
    <t>203-837-8242</t>
  </si>
  <si>
    <t>7. E-Mail address</t>
  </si>
  <si>
    <t>8. FAX number</t>
  </si>
  <si>
    <t>9. Date completed</t>
  </si>
  <si>
    <t>WilcoxJ@wcsu.edu</t>
  </si>
  <si>
    <t>203-837-8276</t>
  </si>
  <si>
    <r>
      <t>CHANGES FOR FALL 2010:</t>
    </r>
    <r>
      <rPr>
        <sz val="12"/>
        <rFont val="Times New Roman"/>
        <family val="1"/>
      </rPr>
      <t xml:space="preserve">
1) </t>
    </r>
    <r>
      <rPr>
        <b/>
        <i/>
        <u/>
        <sz val="12"/>
        <rFont val="Times New Roman"/>
        <family val="1"/>
      </rPr>
      <t>Race/Ethnicity (R/E)</t>
    </r>
    <r>
      <rPr>
        <sz val="12"/>
        <rFont val="Times New Roman"/>
        <family val="1"/>
      </rPr>
      <t xml:space="preserve">: DHE will </t>
    </r>
    <r>
      <rPr>
        <sz val="12"/>
        <rFont val="Times New Roman"/>
        <family val="1"/>
      </rPr>
      <t xml:space="preserve">implement the new </t>
    </r>
    <r>
      <rPr>
        <b/>
        <i/>
        <u/>
        <sz val="12"/>
        <rFont val="Times New Roman"/>
        <family val="1"/>
      </rPr>
      <t>r/e</t>
    </r>
    <r>
      <rPr>
        <sz val="12"/>
        <rFont val="Times New Roman"/>
        <family val="1"/>
      </rPr>
      <t xml:space="preserve"> data for the Fall 2010 Enrollment Report.  
     The new </t>
    </r>
    <r>
      <rPr>
        <b/>
        <i/>
        <u/>
        <sz val="12"/>
        <rFont val="Times New Roman"/>
        <family val="1"/>
      </rPr>
      <t>r/e</t>
    </r>
    <r>
      <rPr>
        <sz val="12"/>
        <rFont val="Times New Roman"/>
        <family val="1"/>
      </rPr>
      <t xml:space="preserve"> to be used in the Fall 2010 Enrollment Report will have nine reporting categories (including "Two or More Races"), and specify that the data be collected for all new constituents (e.g., freshmen, new transfer-in students, and new hires) through a 2-question format -- i.e., ethnicity (Hispanic or Latino) first and race (check one or more from five options) second.</t>
    </r>
  </si>
  <si>
    <t>WORKSHEET INDEX</t>
  </si>
  <si>
    <r>
      <t>STATUS</t>
    </r>
    <r>
      <rPr>
        <sz val="12"/>
        <rFont val="Times New Roman"/>
        <family val="1"/>
      </rPr>
      <t xml:space="preserve"> column: "Has Data" means only that at least one number is entered.
</t>
    </r>
  </si>
  <si>
    <t>NO DATA YET</t>
  </si>
  <si>
    <r>
      <t>CONSISTENCY</t>
    </r>
    <r>
      <rPr>
        <sz val="12"/>
        <rFont val="Times New Roman"/>
        <family val="1"/>
      </rPr>
      <t xml:space="preserve"> column (blank until worksheet has data): "Error" = inconsistency within sheet or between sheets.  Ignore the errors that appear after you start, but before you finish, data entry in a worksheet.</t>
    </r>
  </si>
  <si>
    <t>INVALID UnitID!!! (see above)</t>
  </si>
  <si>
    <r>
      <t>*</t>
    </r>
    <r>
      <rPr>
        <i/>
        <sz val="12"/>
        <rFont val="Times New Roman"/>
        <family val="1"/>
      </rPr>
      <t>Worksheet applies only to colleges that enroll undergraduates, with three of the five further limited to those with first-time freshmen.</t>
    </r>
  </si>
  <si>
    <t>HAS OK DATA</t>
  </si>
  <si>
    <t>WORKSHEET</t>
  </si>
  <si>
    <t>STATUS</t>
  </si>
  <si>
    <t>CONSISTENCY</t>
  </si>
  <si>
    <t>UnitID (on this cover page)</t>
  </si>
  <si>
    <t>99 (total enrollment)</t>
  </si>
  <si>
    <t>13 to 52 (sheets for nine majors)</t>
  </si>
  <si>
    <t>Error Rpt</t>
  </si>
  <si>
    <t>Age</t>
  </si>
  <si>
    <t>*Residence of 1st-Time Freshmen</t>
  </si>
  <si>
    <t>*Entering Class (and clarifying questions)</t>
  </si>
  <si>
    <t>Credit Hour (3 versions; select correct one)</t>
  </si>
  <si>
    <t>Residence</t>
  </si>
  <si>
    <t>*Admissions</t>
  </si>
  <si>
    <t>*Transfers</t>
  </si>
  <si>
    <t>*Freshmen Retention</t>
  </si>
  <si>
    <t>Student Faculty Ratio (Part F)</t>
  </si>
  <si>
    <t>Not in the OHE template.  Enter this datum (one number) on the IPEDS data-collection website  in Part F after OHE uploads all other data (i.e., Parts A to E).</t>
  </si>
  <si>
    <t>IPEDS offers  on-line assistance, instructions, and a worksheet to help you determine that ratio, but that data will not be collected or saved.  My worksheet (if OHE produced one) would have those data entries and calculations saved, and would not have the help.</t>
  </si>
  <si>
    <t>Name of Respondent:</t>
  </si>
  <si>
    <t>Title:</t>
  </si>
  <si>
    <t>Phone Number:</t>
  </si>
  <si>
    <t>PART A - ENROLLMENT BY RACIAL/ETHNIC STATUS &amp; GENDER</t>
  </si>
  <si>
    <t>Enrollment as of the Institution's official fall reporting date</t>
  </si>
  <si>
    <t>ALL STUDENTS</t>
  </si>
  <si>
    <t>Non-</t>
  </si>
  <si>
    <t>Black or</t>
  </si>
  <si>
    <t>American</t>
  </si>
  <si>
    <t>Hispanic</t>
  </si>
  <si>
    <t>Race/</t>
  </si>
  <si>
    <t>Native Hawaiian</t>
  </si>
  <si>
    <t>Two or</t>
  </si>
  <si>
    <t xml:space="preserve"> </t>
  </si>
  <si>
    <t xml:space="preserve">Resident </t>
  </si>
  <si>
    <t>African</t>
  </si>
  <si>
    <t>Indian or</t>
  </si>
  <si>
    <t>Asian</t>
  </si>
  <si>
    <t>of any</t>
  </si>
  <si>
    <t>White</t>
  </si>
  <si>
    <t>Ethnicity</t>
  </si>
  <si>
    <t>or Other</t>
  </si>
  <si>
    <t>more</t>
  </si>
  <si>
    <t>Grand Total</t>
  </si>
  <si>
    <t>990000</t>
  </si>
  <si>
    <t>Alien</t>
  </si>
  <si>
    <t>Alaskan Native</t>
  </si>
  <si>
    <t>race</t>
  </si>
  <si>
    <t>Unknown</t>
  </si>
  <si>
    <t>Pacific Islander</t>
  </si>
  <si>
    <t>races</t>
  </si>
  <si>
    <t>All Students</t>
  </si>
  <si>
    <t>Line</t>
  </si>
  <si>
    <t>Men</t>
  </si>
  <si>
    <t>Women</t>
  </si>
  <si>
    <t>TOTAL</t>
  </si>
  <si>
    <t>ALL STUDENTS ENROLLED FOR CREDIT</t>
  </si>
  <si>
    <t>No.</t>
  </si>
  <si>
    <t>(1)</t>
  </si>
  <si>
    <t>(2)</t>
  </si>
  <si>
    <t>(3)</t>
  </si>
  <si>
    <t>(4)</t>
  </si>
  <si>
    <t>(5)</t>
  </si>
  <si>
    <t>(6)</t>
  </si>
  <si>
    <t>(7)</t>
  </si>
  <si>
    <t>(8)</t>
  </si>
  <si>
    <t>(9)</t>
  </si>
  <si>
    <t>(10)</t>
  </si>
  <si>
    <t>(11)</t>
  </si>
  <si>
    <t>(12)</t>
  </si>
  <si>
    <t>(13)</t>
  </si>
  <si>
    <t>(14)</t>
  </si>
  <si>
    <t>(15)</t>
  </si>
  <si>
    <t>(16)</t>
  </si>
  <si>
    <t>(17)</t>
  </si>
  <si>
    <t>(18)</t>
  </si>
  <si>
    <t>(19)</t>
  </si>
  <si>
    <t>(20)</t>
  </si>
  <si>
    <t>(21)</t>
  </si>
  <si>
    <t xml:space="preserve">  *****  FULL-TIME STUDENTS  *****</t>
  </si>
  <si>
    <t>A. UNDERGRADUATES:</t>
  </si>
  <si>
    <t>1. DEGREE- OR CERTIFICATE-SEEKING</t>
  </si>
  <si>
    <t>(a) First-Time Freshmen</t>
  </si>
  <si>
    <t>01</t>
  </si>
  <si>
    <t>(b) New Transfers In</t>
  </si>
  <si>
    <t>02</t>
  </si>
  <si>
    <t>(c) Other Degree- or Certificate-Seeking Full-Time Undergraduates -- i.e., Neither First-Time Freshmen Nor New Transfer In:</t>
  </si>
  <si>
    <t>- Other First Year or Second Year</t>
  </si>
  <si>
    <t>03</t>
  </si>
  <si>
    <t>- Third Year</t>
  </si>
  <si>
    <t>04</t>
  </si>
  <si>
    <t>- Fourth Year and Beyond</t>
  </si>
  <si>
    <t>05</t>
  </si>
  <si>
    <t>- Unclassified</t>
  </si>
  <si>
    <t>06</t>
  </si>
  <si>
    <t>2. ALL OTHER UNDERGRADUATES ENROLLED IN CREDIT COURSES</t>
  </si>
  <si>
    <t>07</t>
  </si>
  <si>
    <t>TOTAL FULL-TIME UNDERGRADUATES
(sum of lines 1-7)</t>
  </si>
  <si>
    <t>08</t>
  </si>
  <si>
    <t>B. FIRST-PROFESSIONAL STUDENTS:</t>
  </si>
  <si>
    <t>1. FIRST TIME</t>
  </si>
  <si>
    <t>09</t>
  </si>
  <si>
    <t>2. ALL OTHER FIRST-PROFESSIONAL</t>
  </si>
  <si>
    <t>10</t>
  </si>
  <si>
    <t>B. GRADUATE STUDENTS (of any type, including the formerly First Professional enrollments):</t>
  </si>
  <si>
    <t>1. DEGREE SEEKING</t>
  </si>
  <si>
    <t>(a) First Time</t>
  </si>
  <si>
    <t>11</t>
  </si>
  <si>
    <t>(b) All Other</t>
  </si>
  <si>
    <t>2. ALL OTHER GRADUATE STUDENTS ENROLLED IN CREDIT COURSES</t>
  </si>
  <si>
    <t>13</t>
  </si>
  <si>
    <t>TOTAL FULL-TIME GRADUATE STUDENTS (sum of lines 11-13)</t>
  </si>
  <si>
    <t>14</t>
  </si>
  <si>
    <t xml:space="preserve">  *****  PART-TIME STUDENTS  *****</t>
  </si>
  <si>
    <t>16</t>
  </si>
  <si>
    <t>(c) Other Degree- or Certificate-Seeking Part-Time Undergraduates -- i.e., Neither First-Time Freshmen Nor New Transfer In:</t>
  </si>
  <si>
    <t>17</t>
  </si>
  <si>
    <t>18</t>
  </si>
  <si>
    <t>19</t>
  </si>
  <si>
    <t>20</t>
  </si>
  <si>
    <t>21</t>
  </si>
  <si>
    <t>TOTAL PART-TIME UNDERGRADUATES
(sum of lines 15-22)</t>
  </si>
  <si>
    <t>22</t>
  </si>
  <si>
    <t>25</t>
  </si>
  <si>
    <t>26</t>
  </si>
  <si>
    <t>27</t>
  </si>
  <si>
    <t>TOTAL PART-TIME GRADUATE STUDENTS (sum of lines 25-27)</t>
  </si>
  <si>
    <t>28</t>
  </si>
  <si>
    <t>GRAND TOTAL, ALL STUDENTS
(Lines 8+14+22+28)</t>
  </si>
  <si>
    <t>29</t>
  </si>
  <si>
    <t>Full-T</t>
  </si>
  <si>
    <t>Part-T</t>
  </si>
  <si>
    <t>TOT</t>
  </si>
  <si>
    <t>UG</t>
  </si>
  <si>
    <t>Grad</t>
  </si>
  <si>
    <t>FP</t>
  </si>
  <si>
    <t>EDUCATION</t>
  </si>
  <si>
    <t>130000</t>
  </si>
  <si>
    <t>ENGINEERING</t>
  </si>
  <si>
    <t>140000</t>
  </si>
  <si>
    <t>LAW (e.g., J.D., LL.B, etc)</t>
  </si>
  <si>
    <t>BIOLOGICAL &amp; BIO-MEDICAL SCIENCES</t>
  </si>
  <si>
    <t>260000</t>
  </si>
  <si>
    <t>MATH. &amp; STATISTICS</t>
  </si>
  <si>
    <t>270000</t>
  </si>
  <si>
    <t>TOTAL PART-TIME GRADUATE STUDENTS (sum of lines 23-27)</t>
  </si>
  <si>
    <t>PHYSICAL SCIENCES</t>
  </si>
  <si>
    <t>400000</t>
  </si>
  <si>
    <t>DENTISTRY (e.g., DDS or DMD)</t>
  </si>
  <si>
    <t>MEDICINE (i.e., M.D. degree)</t>
  </si>
  <si>
    <t>TOTAL PART-TIME POST-BACCALAUREATE STUDENTS (sum of lines 25-27)</t>
  </si>
  <si>
    <t>BUSINESS, MANAGEMENT, MARKETING, &amp; RELATED SUPPORT SERVICES</t>
  </si>
  <si>
    <t>520000</t>
  </si>
  <si>
    <t>Calculated Sheet (no data entry)</t>
  </si>
  <si>
    <t>PART A - ENROLLMENT BY RACIAL/ETHNIC STATUS</t>
  </si>
  <si>
    <t>ALL OTHER STUDENTS</t>
  </si>
  <si>
    <t>12</t>
  </si>
  <si>
    <t>TOTAL FULL-TIME POST-BACCALAUREATE STUDENTS (sum of lines 9-13)</t>
  </si>
  <si>
    <t>B.  FIRST-PROFESSIONAL STUDENTS:</t>
  </si>
  <si>
    <t>TOTAL PART-TIME POST-BACCALAUREATE STUDENTS (sum of lines 23-27)</t>
  </si>
  <si>
    <t>ERROR</t>
  </si>
  <si>
    <t>ok</t>
  </si>
  <si>
    <t>ERRORS BY COLUMN:</t>
  </si>
  <si>
    <t>= TOTAL Errors</t>
  </si>
  <si>
    <t>ERROR REPORT</t>
  </si>
  <si>
    <t>Cells with "ERROR" entries means fewer total students (sheet 99) than combined students from the nine majors sheets (sheets 13 to 52)</t>
  </si>
  <si>
    <t xml:space="preserve"> PART B: AGE OF STUDENTS</t>
  </si>
  <si>
    <t xml:space="preserve">Name of Respondent:  </t>
  </si>
  <si>
    <t xml:space="preserve">Title:  </t>
  </si>
  <si>
    <t xml:space="preserve">Phone Number:  </t>
  </si>
  <si>
    <t>All Students Enrolled for Credit</t>
  </si>
  <si>
    <t>Undergraduates</t>
  </si>
  <si>
    <t>First-</t>
  </si>
  <si>
    <t>Graduate</t>
  </si>
  <si>
    <t>Degree</t>
  </si>
  <si>
    <t>Non-Degree</t>
  </si>
  <si>
    <t>Professional</t>
  </si>
  <si>
    <t>Students</t>
  </si>
  <si>
    <t>Seeking</t>
  </si>
  <si>
    <t>of any type</t>
  </si>
  <si>
    <t>I. FULL-TIME</t>
  </si>
  <si>
    <t xml:space="preserve">  under 18</t>
  </si>
  <si>
    <t xml:space="preserve">   18-19</t>
  </si>
  <si>
    <t xml:space="preserve">   20-21</t>
  </si>
  <si>
    <t xml:space="preserve">   22-24</t>
  </si>
  <si>
    <t xml:space="preserve">   25-29</t>
  </si>
  <si>
    <t xml:space="preserve">   30-34</t>
  </si>
  <si>
    <t xml:space="preserve">   35-39</t>
  </si>
  <si>
    <t xml:space="preserve">   40-44</t>
  </si>
  <si>
    <t xml:space="preserve">   45-49</t>
  </si>
  <si>
    <t xml:space="preserve">   50-59</t>
  </si>
  <si>
    <t xml:space="preserve">   60-64</t>
  </si>
  <si>
    <t xml:space="preserve">   65+</t>
  </si>
  <si>
    <t>AGE UNKNOWN</t>
  </si>
  <si>
    <t>TOTAL FULL-TIME</t>
  </si>
  <si>
    <t xml:space="preserve">  (Lines 1-13)</t>
  </si>
  <si>
    <t>ERROR CHECK</t>
  </si>
  <si>
    <t xml:space="preserve">     vs. SHEET 99.00</t>
  </si>
  <si>
    <t>II. PART-TIME</t>
  </si>
  <si>
    <t xml:space="preserve">   Under 18</t>
  </si>
  <si>
    <t>TOTAL PART TIME</t>
  </si>
  <si>
    <t xml:space="preserve">   (Lines 15-27)</t>
  </si>
  <si>
    <t>TOTAL ALL</t>
  </si>
  <si>
    <t xml:space="preserve">  STUDENTS</t>
  </si>
  <si>
    <t xml:space="preserve">ERROR CHECK  </t>
  </si>
  <si>
    <t xml:space="preserve">vs. SHEET 99.00  </t>
  </si>
  <si>
    <t>PART C: RESIDENCE OF FIRST-TIME FRESHMEN</t>
  </si>
  <si>
    <r>
      <t xml:space="preserve">State of Residence When Student Was </t>
    </r>
    <r>
      <rPr>
        <b/>
        <u val="singleAccounting"/>
        <sz val="9"/>
        <color indexed="8"/>
        <rFont val="Times New Roman"/>
        <family val="1"/>
      </rPr>
      <t>First</t>
    </r>
    <r>
      <rPr>
        <b/>
        <sz val="9"/>
        <color indexed="8"/>
        <rFont val="Times New Roman"/>
        <family val="1"/>
      </rPr>
      <t xml:space="preserve"> Admitted</t>
    </r>
  </si>
  <si>
    <t>Line No.</t>
  </si>
  <si>
    <t>(1) 
Total First Time Freshmen</t>
  </si>
  <si>
    <t>(2)
Of Those in Col. (1), Number Who Graduated from High School in Past 12 Months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</si>
  <si>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</si>
  <si>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</si>
  <si>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</si>
  <si>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</si>
  <si>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</si>
  <si>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</si>
  <si>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</si>
  <si>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</si>
  <si>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</si>
  <si>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</si>
  <si>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</si>
  <si>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</si>
  <si>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</si>
  <si>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</si>
  <si>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</si>
  <si>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</si>
  <si>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</si>
  <si>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</si>
  <si>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</si>
  <si>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</si>
  <si>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</si>
  <si>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</si>
  <si>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</si>
  <si>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</si>
  <si>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</si>
  <si>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</si>
  <si>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</si>
  <si>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</si>
  <si>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</si>
  <si>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</si>
  <si>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</si>
  <si>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</si>
  <si>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</si>
  <si>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</si>
  <si>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</si>
  <si>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</si>
  <si>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</si>
  <si>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</si>
  <si>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</si>
  <si>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</si>
  <si>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</si>
  <si>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</si>
  <si>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</si>
  <si>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</si>
  <si>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</si>
  <si>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</si>
  <si>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</si>
  <si>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</si>
  <si>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</si>
  <si>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</si>
  <si>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</si>
  <si>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 Unknown</t>
  </si>
  <si>
    <t>American Samoa</t>
  </si>
  <si>
    <t>Federated States of   Micronesia</t>
  </si>
  <si>
    <t>Guam</t>
  </si>
  <si>
    <t>Marshall Islands</t>
  </si>
  <si>
    <t>Northern Marianas</t>
  </si>
  <si>
    <t>Palau</t>
  </si>
  <si>
    <t>Puerto Rico</t>
  </si>
  <si>
    <t>Virgin Islands</t>
  </si>
  <si>
    <t>Foreign Countries</t>
  </si>
  <si>
    <t>Total</t>
  </si>
  <si>
    <t>ERROR CHECKS:</t>
  </si>
  <si>
    <t>LINE 99 FROM  ABOVE:</t>
  </si>
  <si>
    <t>TOTAL 1ST-TIME (PART A):</t>
  </si>
  <si>
    <t>DIFFERENCE</t>
  </si>
  <si>
    <t>PART D: ENTERING CLASS (and clarifying questions)</t>
  </si>
  <si>
    <t>Section B ("Remedial or Developmental Courses, Fall 2021") applies to all schools that offer them.
Section A ("Total Entering Undergraduate Class, Fall 2021") applies only to academic year reporters (i.e., semester, quarter, trimester, 4-1-4, or other standard academic term) that offer undergraduate-level programs and have Line #1 &gt; 0, after you complete worksheet "99."</t>
  </si>
  <si>
    <t>1.</t>
  </si>
  <si>
    <r>
      <t xml:space="preserve">Number of </t>
    </r>
    <r>
      <rPr>
        <b/>
        <u/>
        <sz val="12"/>
        <rFont val="Times New Roman"/>
        <family val="1"/>
      </rPr>
      <t>full-time, first-time</t>
    </r>
    <r>
      <rPr>
        <sz val="12"/>
        <rFont val="Times New Roman"/>
        <family val="1"/>
      </rPr>
      <t xml:space="preserve"> degree- or certificate-seeking undergraduates</t>
    </r>
  </si>
  <si>
    <t>GRS cohort (total from line 01, worksheet "99")</t>
  </si>
  <si>
    <t>2.</t>
  </si>
  <si>
    <r>
      <t xml:space="preserve">Total </t>
    </r>
    <r>
      <rPr>
        <b/>
        <u/>
        <sz val="12"/>
        <rFont val="Times New Roman"/>
        <family val="1"/>
      </rPr>
      <t>first time</t>
    </r>
    <r>
      <rPr>
        <sz val="12"/>
        <rFont val="Times New Roman"/>
        <family val="1"/>
      </rPr>
      <t xml:space="preserve"> degree/certificate-seeking undergraduates (full-time + part-time) from Part A</t>
    </r>
  </si>
  <si>
    <t>Item 1above PLUS total from line 15, worksheet "99"</t>
  </si>
  <si>
    <t>3.</t>
  </si>
  <si>
    <r>
      <t xml:space="preserve">Total </t>
    </r>
    <r>
      <rPr>
        <b/>
        <u/>
        <sz val="12"/>
        <rFont val="Times New Roman"/>
        <family val="1"/>
      </rPr>
      <t>transfer-in</t>
    </r>
    <r>
      <rPr>
        <sz val="12"/>
        <rFont val="Times New Roman"/>
        <family val="1"/>
      </rPr>
      <t xml:space="preserve"> degree/certificate-seeking undergraduates (full-time + part-time) from Part A</t>
    </r>
  </si>
  <si>
    <t>Sum of lines 02 and 16 in worksheet "99"</t>
  </si>
  <si>
    <t>4.</t>
  </si>
  <si>
    <r>
      <t xml:space="preserve">Total </t>
    </r>
    <r>
      <rPr>
        <b/>
        <u/>
        <sz val="12"/>
        <rFont val="Times New Roman"/>
        <family val="1"/>
      </rPr>
      <t>non-degree/certificate-seeking</t>
    </r>
    <r>
      <rPr>
        <sz val="12"/>
        <rFont val="Times New Roman"/>
        <family val="1"/>
      </rPr>
      <t xml:space="preserve"> undergraduates (full-time + part-time) from Part A</t>
    </r>
  </si>
  <si>
    <t>Sum of lines 07 and 21 in worksheet "99"</t>
  </si>
  <si>
    <t>5.</t>
  </si>
  <si>
    <r>
      <t xml:space="preserve">Of the total non-degree/certificate-seeking undergraduates displayed on line 4, </t>
    </r>
    <r>
      <rPr>
        <b/>
        <sz val="12"/>
        <rFont val="Times New Roman"/>
        <family val="1"/>
      </rPr>
      <t xml:space="preserve">the number that are </t>
    </r>
    <r>
      <rPr>
        <b/>
        <u val="double"/>
        <sz val="12"/>
        <rFont val="Times New Roman"/>
        <family val="1"/>
      </rPr>
      <t>new to the institution this fall</t>
    </r>
  </si>
  <si>
    <t>+</t>
  </si>
  <si>
    <t>If you do not enter line 5, the default counts all non-degree/certificate-seeking undergraduates (line 4) as first-time.  You instead must enter a real value for that first-time subset of those not seeking a degree or certificate.</t>
  </si>
  <si>
    <t>6.</t>
  </si>
  <si>
    <t>=</t>
  </si>
  <si>
    <t>7.</t>
  </si>
  <si>
    <r>
      <t xml:space="preserve">Graduation Rate Survey cohort </t>
    </r>
    <r>
      <rPr>
        <i/>
        <sz val="12"/>
        <rFont val="Times New Roman"/>
        <family val="1"/>
      </rPr>
      <t>[line 1]</t>
    </r>
    <r>
      <rPr>
        <sz val="12"/>
        <rFont val="Times New Roman"/>
        <family val="1"/>
      </rPr>
      <t xml:space="preserve"> as % of total undergraduate entering class </t>
    </r>
    <r>
      <rPr>
        <i/>
        <sz val="12"/>
        <rFont val="Times New Roman"/>
        <family val="1"/>
      </rPr>
      <t>[line 6]</t>
    </r>
  </si>
  <si>
    <t xml:space="preserve">DEFINITION: Remedial or developmental courses, also called "compensatory" or "basic skills" courses, are for college students lacking skills necessary to perform college-level work at the level required by the institution.  </t>
  </si>
  <si>
    <t>Number of students</t>
  </si>
  <si>
    <t>Full-time</t>
  </si>
  <si>
    <t>Part-time</t>
  </si>
  <si>
    <t xml:space="preserve">How many students are enrolled in remedial or developmental courses? </t>
  </si>
  <si>
    <t xml:space="preserve">Of the total students enrolled in remedial or developmental course, how many: </t>
  </si>
  <si>
    <t>1b.</t>
  </si>
  <si>
    <t xml:space="preserve">are included in the Part A (sheet 99) enrollment counts?  </t>
  </si>
  <si>
    <t>1c.</t>
  </si>
  <si>
    <t>graduated from high school in the past 12 months?</t>
  </si>
  <si>
    <t>1d.</t>
  </si>
  <si>
    <t>are enrolled EXCLUSIVELY in remedial or developmental courses?</t>
  </si>
  <si>
    <t xml:space="preserve">Additional information about remedial or developmental enrollments or courses: </t>
  </si>
  <si>
    <t>[CSU Version]</t>
  </si>
  <si>
    <t>[CSUs]</t>
  </si>
  <si>
    <t>1</t>
  </si>
  <si>
    <t>GENERAL</t>
  </si>
  <si>
    <t>EXTENSION</t>
  </si>
  <si>
    <t>FUND</t>
  </si>
  <si>
    <t>UNDUPLICATED</t>
  </si>
  <si>
    <t>CREDIT</t>
  </si>
  <si>
    <t>HOURS</t>
  </si>
  <si>
    <t>ENROLLMENT</t>
  </si>
  <si>
    <t>HEADCOUNT</t>
  </si>
  <si>
    <t>Cols. 3+6</t>
  </si>
  <si>
    <t xml:space="preserve">Men </t>
  </si>
  <si>
    <t xml:space="preserve">Women </t>
  </si>
  <si>
    <t>No. *</t>
  </si>
  <si>
    <t>I. FULL-TIME STUDENTS:</t>
  </si>
  <si>
    <t>A. Degree Seeking</t>
  </si>
  <si>
    <t>1. Undergraduate</t>
  </si>
  <si>
    <t>01-06</t>
  </si>
  <si>
    <t>2. First-Professional</t>
  </si>
  <si>
    <t>09+10</t>
  </si>
  <si>
    <t>2. Graduate (including those formerly counted as first professional students)</t>
  </si>
  <si>
    <t>11+12</t>
  </si>
  <si>
    <t>B. Non-Degree Seeking</t>
  </si>
  <si>
    <r>
      <t xml:space="preserve">2. Post-baccalaureate </t>
    </r>
    <r>
      <rPr>
        <sz val="8"/>
        <color indexed="8"/>
        <rFont val="Times New Roman"/>
        <family val="1"/>
      </rPr>
      <t>(not yet enrolled in graduate-degree program)</t>
    </r>
  </si>
  <si>
    <t>TOTAL FULL-TIME STUDENTS</t>
  </si>
  <si>
    <t>II. PART-TIME STUDENTS:</t>
  </si>
  <si>
    <t>15-20</t>
  </si>
  <si>
    <t>23+24</t>
  </si>
  <si>
    <t>25+26</t>
  </si>
  <si>
    <t>TOTAL PART-TIME STUDENTS</t>
  </si>
  <si>
    <t>GRAND TOTAL ALL STUDENTS</t>
  </si>
  <si>
    <t>*   Line Numbers refer to IPEDS Fall Enrollment Survey, Sheet 99</t>
  </si>
  <si>
    <t>[UConn Version]</t>
  </si>
  <si>
    <t>[UConn]</t>
  </si>
  <si>
    <t>* Line Numbers refer to IPEDS Fall Enrollment Survey, Sheet 99</t>
  </si>
  <si>
    <t>[INDEPENDENTS &amp; USCGA]</t>
  </si>
  <si>
    <t>INDEPENDENTS &amp; USCGA</t>
  </si>
  <si>
    <t>UNDERGRADUATES</t>
  </si>
  <si>
    <t>Full-Time</t>
  </si>
  <si>
    <t>Part-Time</t>
  </si>
  <si>
    <t>GEOGRAPHIC ORIGIN</t>
  </si>
  <si>
    <t>Out-of-State</t>
  </si>
  <si>
    <t>Nonresident Alien</t>
  </si>
  <si>
    <t>ERROR CHECK FOR UNDERGRADUATE  RESIDENCE SURVEY</t>
  </si>
  <si>
    <t>TOTALS (from sheet 99)</t>
  </si>
  <si>
    <t>ERROR CHECK with above</t>
  </si>
  <si>
    <r>
      <t xml:space="preserve">GRADUATE STUDENTS  </t>
    </r>
    <r>
      <rPr>
        <sz val="16"/>
        <color indexed="8"/>
        <rFont val="Times New Roman"/>
        <family val="1"/>
      </rPr>
      <t>(including former First-Professional students)</t>
    </r>
  </si>
  <si>
    <t>ERROR CHECK FOR GRADUATE  RESIDENCE SURVEY</t>
  </si>
  <si>
    <t>TOTAL ENROLLMENT</t>
  </si>
  <si>
    <t xml:space="preserve"> FIRST PROFESSIONAL STUDENTS</t>
  </si>
  <si>
    <t>ERROR CHECK FOR FIRST PROFESSIONAL  RESIDENCE SURVEY</t>
  </si>
  <si>
    <t>Date:</t>
  </si>
  <si>
    <t>(A)</t>
  </si>
  <si>
    <t>(B)</t>
  </si>
  <si>
    <t>(C)</t>
  </si>
  <si>
    <t>Completed Applications for Admission as Freshmen</t>
  </si>
  <si>
    <t>Freshmen Admitted</t>
  </si>
  <si>
    <t>Enrolled as Freshmen</t>
  </si>
  <si>
    <t>*C-1, total enrolled freshmen, should be --</t>
  </si>
  <si>
    <t>SECTION I</t>
  </si>
  <si>
    <t>Total Headcount</t>
  </si>
  <si>
    <t>Connecticut Residents</t>
  </si>
  <si>
    <t>-- which is the total (both full and part-time) degree-seeking first-time freshmen reported on sheet 99 in this workbook.</t>
  </si>
  <si>
    <t>Non-resident Alien</t>
  </si>
  <si>
    <t>SECTION II</t>
  </si>
  <si>
    <t>SAT Evidence Based Reading and Writing (formerly Critical Reading)</t>
  </si>
  <si>
    <t>Number in 700-800 range</t>
  </si>
  <si>
    <t>optional</t>
  </si>
  <si>
    <t>Number in 600-699 range</t>
  </si>
  <si>
    <t>Number in 500-599 range</t>
  </si>
  <si>
    <t>Number in 400-499 range</t>
  </si>
  <si>
    <t>Number scoring below 400</t>
  </si>
  <si>
    <t>Median Score</t>
  </si>
  <si>
    <t>Mean Score</t>
  </si>
  <si>
    <t>SAT Math</t>
  </si>
  <si>
    <t>Rank in Class</t>
  </si>
  <si>
    <t>Number in 90-99 percentile</t>
  </si>
  <si>
    <t>Number in 80-89 percentile</t>
  </si>
  <si>
    <t>Number in 70-79 percentile</t>
  </si>
  <si>
    <t>Number in 60-69 percentile</t>
  </si>
  <si>
    <t>Number in 50-59 percentile</t>
  </si>
  <si>
    <t>Number below 50 percentile</t>
  </si>
  <si>
    <t>Number no rank available</t>
  </si>
  <si>
    <t>Median Percentile</t>
  </si>
  <si>
    <t>Mean Percentile</t>
  </si>
  <si>
    <t>(COL A)</t>
  </si>
  <si>
    <t>(COL B)</t>
  </si>
  <si>
    <t>Number</t>
  </si>
  <si>
    <t>Source of Transfer Students</t>
  </si>
  <si>
    <t>of</t>
  </si>
  <si>
    <t>of CT</t>
  </si>
  <si>
    <t>into Institutions</t>
  </si>
  <si>
    <t>Transfers</t>
  </si>
  <si>
    <t>Residents</t>
  </si>
  <si>
    <t>into Institution</t>
  </si>
  <si>
    <t>I.</t>
  </si>
  <si>
    <t>FROM CONNECTICUT INSTITUTIONS</t>
  </si>
  <si>
    <t>Hartford Seminary</t>
  </si>
  <si>
    <t>Holy Apostles College</t>
  </si>
  <si>
    <t>A.</t>
  </si>
  <si>
    <t>PUBLIC Institutions in CT</t>
  </si>
  <si>
    <t>1a</t>
  </si>
  <si>
    <t>Mitchell College</t>
  </si>
  <si>
    <t>Public Four-Year Institutions</t>
  </si>
  <si>
    <t>Paier College of Art, Inc.</t>
  </si>
  <si>
    <t>University of Connecticut</t>
  </si>
  <si>
    <t>Quinnipiac University</t>
  </si>
  <si>
    <t>Central Connecticut State University</t>
  </si>
  <si>
    <t>Sacred Heart University</t>
  </si>
  <si>
    <t>Eastern Connecticut State University</t>
  </si>
  <si>
    <t>University of St. Joseph</t>
  </si>
  <si>
    <t>Southern Connecticut State University</t>
  </si>
  <si>
    <t xml:space="preserve"> Post University</t>
  </si>
  <si>
    <t>Trinity College</t>
  </si>
  <si>
    <t>University of Bridgeport</t>
  </si>
  <si>
    <t>Community Colleges</t>
  </si>
  <si>
    <t>University of Hartford</t>
  </si>
  <si>
    <t>Asnuntuck</t>
  </si>
  <si>
    <t>University of New Haven</t>
  </si>
  <si>
    <t>Capital</t>
  </si>
  <si>
    <t>Wesleyan University</t>
  </si>
  <si>
    <t>Gateway</t>
  </si>
  <si>
    <t>Yale University</t>
  </si>
  <si>
    <t>Housatonic</t>
  </si>
  <si>
    <t xml:space="preserve">Manchester </t>
  </si>
  <si>
    <t>Middlesex</t>
  </si>
  <si>
    <t>Naugatuck Valley</t>
  </si>
  <si>
    <t>Northwestern</t>
  </si>
  <si>
    <t>Norwalk</t>
  </si>
  <si>
    <t>Quinebaug Valley</t>
  </si>
  <si>
    <t>Three Rivers</t>
  </si>
  <si>
    <t>Tunxis</t>
  </si>
  <si>
    <t>II.</t>
  </si>
  <si>
    <t>FROM OUT-OF-STATE INSTITUTIONS</t>
  </si>
  <si>
    <t>Charter Oak State College</t>
  </si>
  <si>
    <t>Two-Year Public Institution</t>
  </si>
  <si>
    <t>Two-Year Independent Institution</t>
  </si>
  <si>
    <t>U.S. Coast Guard Academy</t>
  </si>
  <si>
    <t>Four-Year Public Institution</t>
  </si>
  <si>
    <t>Four-Year Independent Institution</t>
  </si>
  <si>
    <t>Type of Out-of-State Institution Unknown</t>
  </si>
  <si>
    <t>B.</t>
  </si>
  <si>
    <t>INDEPENDENT Institutions in CT</t>
  </si>
  <si>
    <t>Albertus Magnus College</t>
  </si>
  <si>
    <t>Lincoln College of New England</t>
  </si>
  <si>
    <t>Connecticut College</t>
  </si>
  <si>
    <t>III.</t>
  </si>
  <si>
    <t>PREVIOUS INSTITUTION UNKNOWN</t>
  </si>
  <si>
    <t>Fairfield University</t>
  </si>
  <si>
    <t>Goodwin University</t>
  </si>
  <si>
    <t>TOTAL, ALL INSTITUTIONS</t>
  </si>
  <si>
    <t>PART E: First-Time Bachelor's Cohort Retention Rates</t>
  </si>
  <si>
    <t>4-YEAR VERSION</t>
  </si>
  <si>
    <t>Retention rates will be automatically calculated based on information provided below.</t>
  </si>
  <si>
    <t>ACADEMIC reporters report retention data as of the institution's official Fall reporting date or as of October 15.  PROGRAM reporters report retention data on students enrolled in the institution at any time between August 1 and October 31.</t>
  </si>
  <si>
    <t>When reporting data below, remember to:</t>
  </si>
  <si>
    <t>-</t>
  </si>
  <si>
    <t>Determine student status (full- or part-time) using Fall 2020 status (e.g. if a student was part-time in Fall 2020, report him or her in the part-time cohort regardless of his or her Fall 2021 status).</t>
  </si>
  <si>
    <t>Report in the exclusions boxes the number of students from each cohort who left the institution for any of the following reasons: died or were totally and permanently disabled; to serve in the armed forces (including those called to active duty); to serve with a foreign aid service of the Federal Government (e.g. Peace Corps); or to serve on official church missions.</t>
  </si>
  <si>
    <t>The worksheet will subtract exclusions fromm the original cohorts and use adusted cohorts for calculating the retention rates.</t>
  </si>
  <si>
    <t>`</t>
  </si>
  <si>
    <r>
      <t>FULL-TIME</t>
    </r>
    <r>
      <rPr>
        <sz val="16"/>
        <color indexed="10"/>
        <rFont val="Times New Roman"/>
        <family val="1"/>
      </rPr>
      <t xml:space="preserve">, FIRST-TIME </t>
    </r>
    <r>
      <rPr>
        <b/>
        <i/>
        <u/>
        <sz val="16"/>
        <color indexed="10"/>
        <rFont val="Times New Roman"/>
        <family val="1"/>
      </rPr>
      <t>BACHELOR'S</t>
    </r>
    <r>
      <rPr>
        <sz val="16"/>
        <color indexed="10"/>
        <rFont val="Times New Roman"/>
        <family val="1"/>
      </rPr>
      <t xml:space="preserve"> COHORT RETENTION:</t>
    </r>
  </si>
  <si>
    <t>EXCLUSIONS from the cohort (see above for definitions):</t>
  </si>
  <si>
    <t>Full-time, first-time Fall 2020 bachelor's cohort retention rate:</t>
  </si>
  <si>
    <t>%</t>
  </si>
  <si>
    <r>
      <t>PART-TIME</t>
    </r>
    <r>
      <rPr>
        <sz val="16"/>
        <color indexed="10"/>
        <rFont val="Times New Roman"/>
        <family val="1"/>
      </rPr>
      <t xml:space="preserve">, FIRST-TIME </t>
    </r>
    <r>
      <rPr>
        <b/>
        <i/>
        <u/>
        <sz val="16"/>
        <color indexed="10"/>
        <rFont val="Times New Roman"/>
        <family val="1"/>
      </rPr>
      <t>BACHELOR'S</t>
    </r>
    <r>
      <rPr>
        <sz val="16"/>
        <color indexed="10"/>
        <rFont val="Times New Roman"/>
        <family val="1"/>
      </rPr>
      <t xml:space="preserve"> COHORT RETENTION:</t>
    </r>
  </si>
  <si>
    <t>Part-time, first-time Fall 2020 bachelor's cohort retention rate</t>
  </si>
  <si>
    <t>error</t>
  </si>
  <si>
    <t>PART F: Student-to-Faculty Ratio</t>
  </si>
  <si>
    <t>Please provide your institution's student-to-faculty ratio (i.e. student-to-instructional staff) for undergraduate programs for Fall 2021.</t>
  </si>
  <si>
    <t>Note: Logic in this item is similar to item I-2 from the Comman Data Set data collection.</t>
  </si>
  <si>
    <t>Student-to-faculty ratio</t>
  </si>
  <si>
    <t>to 1</t>
  </si>
  <si>
    <t>PART G: Fall Enrollment by Distance Education Status</t>
  </si>
  <si>
    <t>Academic reporters report enrollment as of the institution's official fall reporting date or as of October 15, 2021.</t>
  </si>
  <si>
    <t>Program reporters report students enrolled at any time between August 1 and October 31, 2021.</t>
  </si>
  <si>
    <t>Undergraduate Students</t>
  </si>
  <si>
    <t>Graduate Students</t>
  </si>
  <si>
    <t>Degree/Certificate Seeking</t>
  </si>
  <si>
    <t>Non-Degree/Certificate Seeking</t>
  </si>
  <si>
    <t>Enrolled exclusively in distance education courses</t>
  </si>
  <si>
    <t>Enrolled in some but not all distance education courses</t>
  </si>
  <si>
    <t>Not enrolled in any distance education courses</t>
  </si>
  <si>
    <t>Total (all distance education statuses)</t>
  </si>
  <si>
    <t>NOTE: the total of all distance education statuses (right) must equal the grand total from tab 99</t>
  </si>
  <si>
    <r>
      <t xml:space="preserve">Of those students </t>
    </r>
    <r>
      <rPr>
        <b/>
        <u/>
        <sz val="12"/>
        <rFont val="Times New Roman"/>
        <family val="1"/>
      </rPr>
      <t>exclusively</t>
    </r>
    <r>
      <rPr>
        <b/>
        <sz val="12"/>
        <rFont val="Times New Roman"/>
        <family val="1"/>
      </rPr>
      <t xml:space="preserve"> enrolled in distance education courses, report the number that are:</t>
    </r>
  </si>
  <si>
    <t>Located in (pre-populated state)</t>
  </si>
  <si>
    <t>Located in the U.S. but not in (pre-populated state)</t>
  </si>
  <si>
    <t>Located in the U.S. but state unknown</t>
  </si>
  <si>
    <t>Located outside the U.S.</t>
  </si>
  <si>
    <t>Location unkown/unreported</t>
  </si>
  <si>
    <t>Total students exclusively enrolled in distance</t>
  </si>
  <si>
    <t>education (from selection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</si>
</sst>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_(&quot;$&quot;#,##0.00_);_(&quot;$&quot;\(#,##0.00\);_(&quot;$&quot;&quot;-&quot;??_);_(@_)"/>
    <numFmt numFmtId="165" formatCode="_(* #,##0_);_(* \(#,##0\);_(* &quot;-&quot;??_);_(@_)"/>
    <numFmt numFmtId="166" formatCode="00"/>
    <numFmt numFmtId="167" formatCode="000000"/>
    <numFmt numFmtId="168" formatCode="0.0%"/>
    <numFmt numFmtId="169" formatCode="0;\-0;;@"/>
    <numFmt numFmtId="170" formatCode="[&lt;=9999999]###\-####;\(###\)\ ###\-####"/>
    <numFmt numFmtId="171" formatCode="m/d/yy;@"/>
  </numFmts>
  <fonts count="105">
    <font>
      <sz val="12"/>
      <name val="Times New Roman"/>
      <family val="1"/>
    </font>
    <font>
      <sz val="10"/>
      <name val="Arial"/>
    </font>
    <font>
      <sz val="10"/>
      <name val="Courier 10cpi"/>
    </font>
    <font>
      <sz val="12"/>
      <name val="Times New Roman"/>
      <family val="1"/>
    </font>
    <font>
      <b/>
      <sz val="16"/>
      <name val="Times New Roman"/>
      <family val="1"/>
    </font>
    <font>
      <sz val="10"/>
      <name val="Times New Roman"/>
      <family val="1"/>
    </font>
    <font>
      <b/>
      <sz val="12"/>
      <name val="Times New Roman"/>
      <family val="1"/>
    </font>
    <font>
      <u/>
      <sz val="12"/>
      <name val="Times New Roman"/>
      <family val="1"/>
    </font>
    <font>
      <sz val="12"/>
      <name val="Times New Roman"/>
      <family val="1"/>
    </font>
    <font>
      <b/>
      <u/>
      <sz val="12"/>
      <name val="Times New Roman"/>
      <family val="1"/>
    </font>
    <font>
      <sz val="12"/>
      <color indexed="9"/>
      <name val="Times New Roman"/>
      <family val="1"/>
    </font>
    <font>
      <sz val="12"/>
      <name val="Times New Roman"/>
      <family val="1"/>
    </font>
    <font>
      <b/>
      <sz val="14"/>
      <name val="Times New Roman"/>
      <family val="1"/>
    </font>
    <font>
      <sz val="16"/>
      <name val="Times New Roman"/>
      <family val="1"/>
    </font>
    <font>
      <b/>
      <sz val="12"/>
      <color indexed="8"/>
      <name val="Times New Roman"/>
      <family val="1"/>
    </font>
    <font>
      <b/>
      <sz val="10"/>
      <color indexed="8"/>
      <name val="Times New Roman"/>
      <family val="1"/>
    </font>
    <font>
      <sz val="8"/>
      <color indexed="8"/>
      <name val="Times New Roman"/>
      <family val="1"/>
    </font>
    <font>
      <sz val="9"/>
      <color indexed="8"/>
      <name val="Times New Roman"/>
      <family val="1"/>
    </font>
    <font>
      <sz val="10"/>
      <color indexed="8"/>
      <name val="Times New Roman"/>
      <family val="1"/>
    </font>
    <font>
      <b/>
      <sz val="8"/>
      <color indexed="8"/>
      <name val="Times New Roman"/>
      <family val="1"/>
    </font>
    <font>
      <b/>
      <sz val="9"/>
      <color indexed="8"/>
      <name val="Times New Roman"/>
      <family val="1"/>
    </font>
    <font>
      <b/>
      <sz val="16"/>
      <color indexed="8"/>
      <name val="Times New Roman"/>
      <family val="1"/>
    </font>
    <font>
      <b/>
      <u/>
      <sz val="18"/>
      <color indexed="10"/>
      <name val="Times New Roman"/>
      <family val="1"/>
    </font>
    <font>
      <u/>
      <sz val="18"/>
      <name val="Times New Roman"/>
      <family val="1"/>
    </font>
    <font>
      <b/>
      <sz val="14"/>
      <color indexed="8"/>
      <name val="Times New Roman"/>
      <family val="1"/>
    </font>
    <font>
      <sz val="5"/>
      <color indexed="8"/>
      <name val="Times New Roman"/>
      <family val="1"/>
    </font>
    <font>
      <sz val="8"/>
      <color indexed="10"/>
      <name val="Times New Roman"/>
      <family val="1"/>
    </font>
    <font>
      <sz val="4"/>
      <color indexed="8"/>
      <name val="Times New Roman"/>
      <family val="1"/>
    </font>
    <font>
      <b/>
      <sz val="12"/>
      <color indexed="10"/>
      <name val="Times New Roman"/>
      <family val="1"/>
    </font>
    <font>
      <b/>
      <sz val="16"/>
      <color indexed="10"/>
      <name val="Times New Roman"/>
      <family val="1"/>
    </font>
    <font>
      <sz val="12"/>
      <color indexed="8"/>
      <name val="Times New Roman"/>
      <family val="1"/>
    </font>
    <font>
      <b/>
      <sz val="18"/>
      <color indexed="8"/>
      <name val="Times New Roman"/>
      <family val="1"/>
    </font>
    <font>
      <sz val="18"/>
      <color indexed="8"/>
      <name val="Times New Roman"/>
      <family val="1"/>
    </font>
    <font>
      <sz val="14"/>
      <color indexed="10"/>
      <name val="Times New Roman"/>
      <family val="1"/>
    </font>
    <font>
      <b/>
      <sz val="22"/>
      <color indexed="10"/>
      <name val="Times New Roman"/>
      <family val="1"/>
    </font>
    <font>
      <sz val="10"/>
      <color indexed="10"/>
      <name val="Times New Roman"/>
      <family val="1"/>
    </font>
    <font>
      <b/>
      <sz val="4"/>
      <color indexed="8"/>
      <name val="Times New Roman"/>
      <family val="1"/>
    </font>
    <font>
      <b/>
      <sz val="12"/>
      <name val="Arial"/>
      <family val="2"/>
    </font>
    <font>
      <b/>
      <sz val="22"/>
      <name val="Times New Roman"/>
      <family val="1"/>
    </font>
    <font>
      <sz val="6"/>
      <name val="Times New Roman"/>
      <family val="1"/>
    </font>
    <font>
      <i/>
      <sz val="12"/>
      <name val="Times New Roman"/>
      <family val="1"/>
    </font>
    <font>
      <b/>
      <sz val="26"/>
      <color indexed="10"/>
      <name val="Times New Roman"/>
      <family val="1"/>
    </font>
    <font>
      <b/>
      <sz val="10"/>
      <color indexed="10"/>
      <name val="Times New Roman"/>
      <family val="1"/>
    </font>
    <font>
      <sz val="26"/>
      <color indexed="10"/>
      <name val="Times New Roman"/>
      <family val="1"/>
    </font>
    <font>
      <b/>
      <sz val="14"/>
      <color indexed="10"/>
      <name val="Times New Roman"/>
      <family val="1"/>
    </font>
    <font>
      <b/>
      <sz val="6"/>
      <color indexed="8"/>
      <name val="Times New Roman"/>
      <family val="1"/>
    </font>
    <font>
      <sz val="6"/>
      <color indexed="8"/>
      <name val="Times New Roman"/>
      <family val="1"/>
    </font>
    <font>
      <sz val="22"/>
      <name val="Times New Roman"/>
      <family val="1"/>
    </font>
    <font>
      <sz val="18"/>
      <name val="Times New Roman"/>
      <family val="1"/>
    </font>
    <font>
      <u/>
      <sz val="10"/>
      <color indexed="8"/>
      <name val="Times New Roman"/>
      <family val="1"/>
    </font>
    <font>
      <b/>
      <sz val="18"/>
      <color indexed="10"/>
      <name val="Times New Roman"/>
      <family val="1"/>
    </font>
    <font>
      <b/>
      <sz val="18"/>
      <name val="Times New Roman"/>
      <family val="1"/>
    </font>
    <font>
      <b/>
      <sz val="10"/>
      <name val="Times New Roman"/>
      <family val="1"/>
    </font>
    <font>
      <sz val="16"/>
      <color indexed="8"/>
      <name val="Times New Roman"/>
      <family val="1"/>
    </font>
    <font>
      <sz val="8"/>
      <name val="Times New Roman"/>
      <family val="1"/>
    </font>
    <font>
      <u/>
      <sz val="12"/>
      <color indexed="12"/>
      <name val="Times New Roman"/>
      <family val="1"/>
    </font>
    <font>
      <sz val="14"/>
      <name val="Times New Roman"/>
      <family val="1"/>
    </font>
    <font>
      <sz val="2"/>
      <name val="Times New Roman"/>
      <family val="1"/>
    </font>
    <font>
      <b/>
      <sz val="20"/>
      <color indexed="10"/>
      <name val="Times New Roman"/>
      <family val="1"/>
    </font>
    <font>
      <b/>
      <u/>
      <sz val="20"/>
      <color indexed="10"/>
      <name val="Times New Roman"/>
      <family val="1"/>
    </font>
    <font>
      <b/>
      <sz val="6"/>
      <color indexed="55"/>
      <name val="Times New Roman"/>
      <family val="1"/>
    </font>
    <font>
      <sz val="36"/>
      <color indexed="10"/>
      <name val="Times New Roman"/>
      <family val="1"/>
    </font>
    <font>
      <b/>
      <sz val="11"/>
      <color indexed="10"/>
      <name val="Times New Roman"/>
      <family val="1"/>
    </font>
    <font>
      <b/>
      <i/>
      <u/>
      <sz val="14"/>
      <name val="Times New Roman"/>
      <family val="1"/>
    </font>
    <font>
      <sz val="11"/>
      <name val="Times New Roman"/>
      <family val="1"/>
    </font>
    <font>
      <b/>
      <sz val="28"/>
      <color indexed="10"/>
      <name val="Times New Roman"/>
      <family val="1"/>
    </font>
    <font>
      <b/>
      <u val="singleAccounting"/>
      <sz val="9"/>
      <color indexed="8"/>
      <name val="Times New Roman"/>
      <family val="1"/>
    </font>
    <font>
      <b/>
      <u/>
      <sz val="18"/>
      <name val="Times New Roman"/>
      <family val="1"/>
    </font>
    <font>
      <b/>
      <u/>
      <sz val="14"/>
      <color indexed="10"/>
      <name val="Times New Roman"/>
      <family val="1"/>
    </font>
    <font>
      <sz val="26"/>
      <color indexed="12"/>
      <name val="Times New Roman"/>
      <family val="1"/>
    </font>
    <font>
      <b/>
      <u/>
      <sz val="10"/>
      <color indexed="10"/>
      <name val="Times New Roman"/>
      <family val="1"/>
    </font>
    <font>
      <b/>
      <sz val="1"/>
      <color indexed="8"/>
      <name val="Times New Roman"/>
      <family val="1"/>
    </font>
    <font>
      <sz val="7"/>
      <color indexed="10"/>
      <name val="Times New Roman"/>
      <family val="1"/>
    </font>
    <font>
      <b/>
      <sz val="8"/>
      <color indexed="10"/>
      <name val="Times New Roman"/>
      <family val="1"/>
    </font>
    <font>
      <b/>
      <sz val="9"/>
      <color indexed="10"/>
      <name val="Times New Roman"/>
      <family val="1"/>
    </font>
    <font>
      <b/>
      <sz val="24"/>
      <color indexed="8"/>
      <name val="Times New Roman"/>
      <family val="1"/>
    </font>
    <font>
      <b/>
      <sz val="22"/>
      <color indexed="8"/>
      <name val="Times New Roman"/>
      <family val="1"/>
    </font>
    <font>
      <b/>
      <sz val="2"/>
      <color indexed="8"/>
      <name val="Times New Roman"/>
      <family val="1"/>
    </font>
    <font>
      <b/>
      <u/>
      <sz val="16"/>
      <color indexed="10"/>
      <name val="Times New Roman"/>
      <family val="1"/>
    </font>
    <font>
      <u/>
      <sz val="16"/>
      <name val="Times New Roman"/>
      <family val="1"/>
    </font>
    <font>
      <b/>
      <sz val="36"/>
      <color indexed="10"/>
      <name val="Times New Roman"/>
      <family val="1"/>
    </font>
    <font>
      <sz val="36"/>
      <name val="Times New Roman"/>
      <family val="1"/>
    </font>
    <font>
      <b/>
      <sz val="32"/>
      <color indexed="10"/>
      <name val="Times New Roman"/>
      <family val="1"/>
    </font>
    <font>
      <b/>
      <sz val="30"/>
      <color indexed="10"/>
      <name val="Times New Roman"/>
      <family val="1"/>
    </font>
    <font>
      <sz val="32"/>
      <name val="Times New Roman"/>
      <family val="1"/>
    </font>
    <font>
      <sz val="28"/>
      <color indexed="10"/>
      <name val="Times New Roman"/>
      <family val="1"/>
    </font>
    <font>
      <b/>
      <u/>
      <sz val="24"/>
      <color indexed="10"/>
      <name val="Times New Roman"/>
      <family val="1"/>
    </font>
    <font>
      <u/>
      <sz val="24"/>
      <name val="Times New Roman"/>
      <family val="1"/>
    </font>
    <font>
      <sz val="24"/>
      <name val="Times New Roman"/>
      <family val="1"/>
    </font>
    <font>
      <b/>
      <i/>
      <sz val="10"/>
      <color indexed="8"/>
      <name val="Times New Roman"/>
      <family val="1"/>
    </font>
    <font>
      <sz val="20"/>
      <name val="Times New Roman"/>
      <family val="1"/>
    </font>
    <font>
      <u/>
      <sz val="20"/>
      <name val="Times New Roman"/>
      <family val="1"/>
    </font>
    <font>
      <u/>
      <sz val="14"/>
      <name val="Times New Roman"/>
      <family val="1"/>
    </font>
    <font>
      <b/>
      <i/>
      <sz val="12"/>
      <name val="Times New Roman"/>
      <family val="1"/>
    </font>
    <font>
      <b/>
      <sz val="24"/>
      <name val="Times New Roman"/>
      <family val="1"/>
    </font>
    <font>
      <b/>
      <u/>
      <sz val="24"/>
      <name val="Times New Roman"/>
      <family val="1"/>
    </font>
    <font>
      <sz val="4"/>
      <name val="Times New Roman"/>
      <family val="1"/>
    </font>
    <font>
      <b/>
      <u val="double"/>
      <sz val="12"/>
      <name val="Times New Roman"/>
      <family val="1"/>
    </font>
    <font>
      <sz val="24"/>
      <color indexed="10"/>
      <name val="Times New Roman"/>
      <family val="1"/>
    </font>
    <font>
      <i/>
      <sz val="14"/>
      <name val="Times New Roman"/>
      <family val="1"/>
    </font>
    <font>
      <b/>
      <i/>
      <u/>
      <sz val="12"/>
      <name val="Times New Roman"/>
      <family val="1"/>
    </font>
    <font>
      <sz val="16"/>
      <color indexed="10"/>
      <name val="Times New Roman"/>
      <family val="1"/>
    </font>
    <font>
      <b/>
      <i/>
      <u/>
      <sz val="16"/>
      <color indexed="10"/>
      <name val="Times New Roman"/>
      <family val="1"/>
    </font>
    <font>
      <b/>
      <u val="double"/>
      <sz val="16"/>
      <color indexed="10"/>
      <name val="Times New Roman"/>
      <family val="1"/>
    </font>
    <font>
      <sz val="12"/>
      <color indexed="10"/>
      <name val="Times New Roman"/>
      <family val="1"/>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indexed="23"/>
        <bgColor indexed="64"/>
      </patternFill>
    </fill>
    <fill>
      <patternFill patternType="lightDown">
        <fgColor indexed="22"/>
        <bgColor indexed="22"/>
      </patternFill>
    </fill>
    <fill>
      <patternFill patternType="solid">
        <fgColor theme="0" tint="-0.249977111117893"/>
        <bgColor indexed="64"/>
      </patternFill>
    </fill>
    <fill>
      <patternFill patternType="solid">
        <fgColor theme="0"/>
        <bgColor indexed="64"/>
      </patternFill>
    </fill>
  </fills>
  <borders count="118">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thick">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thin">
        <color indexed="64"/>
      </top>
      <bottom/>
      <diagonal/>
    </border>
    <border>
      <left style="thick">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style="thick">
        <color indexed="64"/>
      </left>
      <right/>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style="medium">
        <color indexed="64"/>
      </right>
      <top style="thin">
        <color indexed="64"/>
      </top>
      <bottom style="medium">
        <color indexed="64"/>
      </bottom>
      <diagonal/>
    </border>
    <border>
      <left style="thick">
        <color indexed="64"/>
      </left>
      <right/>
      <top style="thin">
        <color indexed="64"/>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style="thick">
        <color indexed="64"/>
      </left>
      <right style="thin">
        <color indexed="64"/>
      </right>
      <top style="thin">
        <color indexed="64"/>
      </top>
      <bottom/>
      <diagonal/>
    </border>
    <border>
      <left/>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bottom style="thick">
        <color indexed="64"/>
      </bottom>
      <diagonal/>
    </border>
    <border>
      <left/>
      <right style="medium">
        <color indexed="64"/>
      </right>
      <top/>
      <bottom/>
      <diagonal/>
    </border>
    <border>
      <left/>
      <right style="thick">
        <color indexed="64"/>
      </right>
      <top/>
      <bottom/>
      <diagonal/>
    </border>
    <border>
      <left/>
      <right style="thick">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n">
        <color indexed="64"/>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DashDotDot">
        <color indexed="64"/>
      </bottom>
      <diagonal/>
    </border>
    <border>
      <left/>
      <right/>
      <top style="medium">
        <color indexed="64"/>
      </top>
      <bottom style="mediumDashDotDot">
        <color indexed="64"/>
      </bottom>
      <diagonal/>
    </border>
    <border>
      <left/>
      <right style="medium">
        <color indexed="64"/>
      </right>
      <top style="medium">
        <color indexed="64"/>
      </top>
      <bottom style="mediumDashDotDot">
        <color indexed="64"/>
      </bottom>
      <diagonal/>
    </border>
    <border>
      <left style="medium">
        <color indexed="64"/>
      </left>
      <right/>
      <top/>
      <bottom style="medium">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22"/>
      </left>
      <right/>
      <top/>
      <bottom/>
      <diagonal/>
    </border>
  </borders>
  <cellStyleXfs count="11">
    <xf numFmtId="0" fontId="0" fillId="0" borderId="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2" fillId="0" borderId="0" applyFont="0" applyFill="0" applyBorder="0" applyAlignment="0" applyProtection="0"/>
    <xf numFmtId="0" fontId="55" fillId="0" borderId="0" applyNumberFormat="0" applyFill="0" applyBorder="0" applyAlignment="0" applyProtection="0">
      <alignment vertical="top"/>
      <protection locked="0"/>
    </xf>
    <xf numFmtId="0" fontId="3" fillId="0" borderId="0"/>
    <xf numFmtId="0" fontId="2" fillId="0" borderId="0"/>
    <xf numFmtId="0" fontId="8" fillId="0" borderId="0"/>
    <xf numFmtId="0" fontId="3" fillId="0" borderId="0"/>
    <xf numFmtId="9" fontId="1" fillId="0" borderId="0" applyFont="0" applyFill="0" applyBorder="0" applyAlignment="0" applyProtection="0"/>
  </cellStyleXfs>
  <cellXfs count="1184">
    <xf numFmtId="0" fontId="0" fillId="0" borderId="0" xfId="0"/>
    <xf numFmtId="0" fontId="0" fillId="0" borderId="0" xfId="0" applyProtection="1">
      <protection locked="0"/>
    </xf>
    <xf numFmtId="1" fontId="15" fillId="2" borderId="0" xfId="2" applyNumberFormat="1" applyFont="1" applyFill="1" applyBorder="1" applyAlignment="1" applyProtection="1">
      <alignment horizontal="centerContinuous"/>
      <protection locked="0"/>
    </xf>
    <xf numFmtId="1" fontId="15" fillId="2" borderId="0" xfId="2" applyNumberFormat="1" applyFont="1" applyFill="1" applyBorder="1" applyAlignment="1" applyProtection="1">
      <alignment horizontal="center"/>
      <protection locked="0"/>
    </xf>
    <xf numFmtId="1" fontId="16" fillId="2" borderId="0" xfId="2" applyNumberFormat="1" applyFont="1" applyFill="1" applyBorder="1" applyAlignment="1" applyProtection="1">
      <alignment horizontal="right"/>
      <protection locked="0"/>
    </xf>
    <xf numFmtId="1" fontId="17" fillId="2" borderId="0" xfId="2" applyNumberFormat="1" applyFont="1" applyFill="1" applyBorder="1" applyAlignment="1" applyProtection="1">
      <alignment horizontal="left"/>
      <protection locked="0"/>
    </xf>
    <xf numFmtId="1" fontId="18" fillId="2" borderId="1" xfId="2" applyNumberFormat="1" applyFont="1" applyFill="1" applyBorder="1" applyAlignment="1" applyProtection="1">
      <alignment horizontal="left"/>
      <protection locked="0"/>
    </xf>
    <xf numFmtId="1" fontId="15" fillId="2" borderId="1" xfId="2" applyNumberFormat="1" applyFont="1" applyFill="1" applyBorder="1" applyAlignment="1" applyProtection="1">
      <alignment horizontal="centerContinuous"/>
      <protection locked="0"/>
    </xf>
    <xf numFmtId="1" fontId="15" fillId="2" borderId="1" xfId="2" applyNumberFormat="1" applyFont="1" applyFill="1" applyBorder="1" applyAlignment="1" applyProtection="1">
      <alignment horizontal="center"/>
      <protection locked="0"/>
    </xf>
    <xf numFmtId="1" fontId="16" fillId="2" borderId="0" xfId="2" applyNumberFormat="1" applyFont="1" applyFill="1" applyBorder="1" applyAlignment="1" applyProtection="1">
      <alignment horizontal="left"/>
      <protection locked="0"/>
    </xf>
    <xf numFmtId="1" fontId="16" fillId="2" borderId="0" xfId="1" applyNumberFormat="1" applyFont="1" applyFill="1" applyBorder="1" applyAlignment="1" applyProtection="1">
      <alignment horizontal="left"/>
      <protection locked="0"/>
    </xf>
    <xf numFmtId="1" fontId="16" fillId="2" borderId="0" xfId="2" applyNumberFormat="1" applyFont="1" applyFill="1" applyBorder="1" applyAlignment="1" applyProtection="1">
      <alignment horizontal="center"/>
      <protection locked="0"/>
    </xf>
    <xf numFmtId="1" fontId="16" fillId="2" borderId="0" xfId="2" applyNumberFormat="1" applyFont="1" applyFill="1" applyBorder="1" applyProtection="1">
      <protection locked="0"/>
    </xf>
    <xf numFmtId="1" fontId="19" fillId="2" borderId="0" xfId="2" applyNumberFormat="1" applyFont="1" applyFill="1" applyBorder="1" applyProtection="1">
      <protection locked="0"/>
    </xf>
    <xf numFmtId="1" fontId="19" fillId="2" borderId="0" xfId="2" applyNumberFormat="1" applyFont="1" applyFill="1" applyBorder="1" applyAlignment="1" applyProtection="1">
      <alignment horizontal="left"/>
      <protection locked="0"/>
    </xf>
    <xf numFmtId="1" fontId="15" fillId="2" borderId="2" xfId="2" applyNumberFormat="1" applyFont="1" applyFill="1" applyBorder="1" applyAlignment="1" applyProtection="1">
      <alignment horizontal="center"/>
      <protection locked="0"/>
    </xf>
    <xf numFmtId="1" fontId="15" fillId="2" borderId="2" xfId="2" applyNumberFormat="1" applyFont="1" applyFill="1" applyBorder="1" applyAlignment="1" applyProtection="1">
      <alignment horizontal="centerContinuous"/>
      <protection locked="0"/>
    </xf>
    <xf numFmtId="1" fontId="16" fillId="2" borderId="2" xfId="2" applyNumberFormat="1" applyFont="1" applyFill="1" applyBorder="1" applyProtection="1">
      <protection locked="0"/>
    </xf>
    <xf numFmtId="1" fontId="19" fillId="3" borderId="3" xfId="2" applyNumberFormat="1" applyFont="1" applyFill="1" applyBorder="1" applyProtection="1">
      <protection locked="0"/>
    </xf>
    <xf numFmtId="1" fontId="16" fillId="3" borderId="4" xfId="2" applyNumberFormat="1" applyFont="1" applyFill="1" applyBorder="1" applyAlignment="1" applyProtection="1">
      <alignment horizontal="center"/>
    </xf>
    <xf numFmtId="1" fontId="16" fillId="3" borderId="5" xfId="2" applyNumberFormat="1" applyFont="1" applyFill="1" applyBorder="1" applyAlignment="1" applyProtection="1">
      <alignment horizontal="center"/>
    </xf>
    <xf numFmtId="1" fontId="19" fillId="3" borderId="3" xfId="2" applyNumberFormat="1" applyFont="1" applyFill="1" applyBorder="1" applyProtection="1"/>
    <xf numFmtId="1" fontId="16" fillId="3" borderId="4" xfId="2" quotePrefix="1" applyNumberFormat="1" applyFont="1" applyFill="1" applyBorder="1" applyAlignment="1" applyProtection="1">
      <alignment horizontal="center"/>
    </xf>
    <xf numFmtId="1" fontId="16" fillId="3" borderId="3" xfId="2" applyNumberFormat="1" applyFont="1" applyFill="1" applyBorder="1" applyProtection="1"/>
    <xf numFmtId="1" fontId="19" fillId="3" borderId="4" xfId="2" quotePrefix="1" applyNumberFormat="1" applyFont="1" applyFill="1" applyBorder="1" applyAlignment="1" applyProtection="1">
      <alignment horizontal="center"/>
    </xf>
    <xf numFmtId="1" fontId="19" fillId="2" borderId="2" xfId="2" applyNumberFormat="1" applyFont="1" applyFill="1" applyBorder="1" applyProtection="1">
      <protection locked="0"/>
    </xf>
    <xf numFmtId="1" fontId="14" fillId="2" borderId="0" xfId="2" applyNumberFormat="1" applyFont="1" applyFill="1" applyBorder="1" applyAlignment="1" applyProtection="1">
      <alignment horizontal="centerContinuous"/>
      <protection locked="0"/>
    </xf>
    <xf numFmtId="1" fontId="16" fillId="2" borderId="0" xfId="2" applyNumberFormat="1" applyFont="1" applyFill="1" applyBorder="1" applyAlignment="1" applyProtection="1">
      <alignment horizontal="centerContinuous"/>
      <protection locked="0"/>
    </xf>
    <xf numFmtId="1" fontId="15" fillId="2" borderId="2" xfId="4" applyNumberFormat="1" applyFont="1" applyFill="1" applyBorder="1" applyAlignment="1" applyProtection="1">
      <alignment horizontal="centerContinuous"/>
      <protection locked="0"/>
    </xf>
    <xf numFmtId="1" fontId="20" fillId="2" borderId="0" xfId="2" applyNumberFormat="1" applyFont="1" applyFill="1" applyBorder="1" applyProtection="1">
      <protection locked="0"/>
    </xf>
    <xf numFmtId="167" fontId="18" fillId="3" borderId="1" xfId="2" applyNumberFormat="1" applyFont="1" applyFill="1" applyBorder="1" applyAlignment="1" applyProtection="1">
      <alignment horizontal="left"/>
    </xf>
    <xf numFmtId="1" fontId="18" fillId="3" borderId="1" xfId="2" applyNumberFormat="1" applyFont="1" applyFill="1" applyBorder="1" applyAlignment="1" applyProtection="1">
      <alignment horizontal="left"/>
    </xf>
    <xf numFmtId="0" fontId="5" fillId="3" borderId="6" xfId="0" applyFont="1" applyFill="1" applyBorder="1"/>
    <xf numFmtId="1" fontId="21" fillId="2" borderId="0" xfId="2" applyNumberFormat="1" applyFont="1" applyFill="1" applyBorder="1" applyAlignment="1" applyProtection="1">
      <alignment horizontal="centerContinuous"/>
      <protection locked="0"/>
    </xf>
    <xf numFmtId="1" fontId="16" fillId="3" borderId="7" xfId="2" quotePrefix="1" applyNumberFormat="1" applyFont="1" applyFill="1" applyBorder="1" applyAlignment="1" applyProtection="1">
      <alignment horizontal="center"/>
    </xf>
    <xf numFmtId="1" fontId="19" fillId="3" borderId="5" xfId="2" quotePrefix="1" applyNumberFormat="1" applyFont="1" applyFill="1" applyBorder="1" applyAlignment="1" applyProtection="1">
      <alignment horizontal="center"/>
    </xf>
    <xf numFmtId="1" fontId="16" fillId="3" borderId="8" xfId="2" applyNumberFormat="1" applyFont="1" applyFill="1" applyBorder="1" applyAlignment="1" applyProtection="1">
      <alignment horizontal="center"/>
    </xf>
    <xf numFmtId="1" fontId="18" fillId="3" borderId="9" xfId="2" applyNumberFormat="1" applyFont="1" applyFill="1" applyBorder="1" applyAlignment="1" applyProtection="1">
      <alignment horizontal="left" indent="2"/>
    </xf>
    <xf numFmtId="1" fontId="18" fillId="3" borderId="10" xfId="2" applyNumberFormat="1" applyFont="1" applyFill="1" applyBorder="1" applyAlignment="1" applyProtection="1">
      <alignment horizontal="left" indent="2"/>
    </xf>
    <xf numFmtId="1" fontId="16" fillId="2" borderId="9" xfId="2" applyNumberFormat="1" applyFont="1" applyFill="1" applyBorder="1" applyProtection="1">
      <protection locked="0"/>
    </xf>
    <xf numFmtId="3" fontId="16" fillId="2" borderId="11" xfId="2" applyNumberFormat="1" applyFont="1" applyFill="1" applyBorder="1" applyProtection="1">
      <protection locked="0"/>
    </xf>
    <xf numFmtId="3" fontId="16" fillId="4" borderId="11" xfId="2" applyNumberFormat="1" applyFont="1" applyFill="1" applyBorder="1" applyProtection="1">
      <protection locked="0"/>
    </xf>
    <xf numFmtId="3" fontId="19" fillId="3" borderId="11" xfId="2" applyNumberFormat="1" applyFont="1" applyFill="1" applyBorder="1" applyProtection="1"/>
    <xf numFmtId="170" fontId="18" fillId="2" borderId="6" xfId="2" applyNumberFormat="1" applyFont="1" applyFill="1" applyBorder="1" applyAlignment="1" applyProtection="1">
      <alignment horizontal="left"/>
      <protection locked="0"/>
    </xf>
    <xf numFmtId="3" fontId="19" fillId="3" borderId="7" xfId="2" applyNumberFormat="1" applyFont="1" applyFill="1" applyBorder="1" applyProtection="1"/>
    <xf numFmtId="3" fontId="16" fillId="2" borderId="12" xfId="2" applyNumberFormat="1" applyFont="1" applyFill="1" applyBorder="1" applyProtection="1">
      <protection locked="0"/>
    </xf>
    <xf numFmtId="3" fontId="16" fillId="4" borderId="12" xfId="2" applyNumberFormat="1" applyFont="1" applyFill="1" applyBorder="1" applyProtection="1">
      <protection locked="0"/>
    </xf>
    <xf numFmtId="3" fontId="19" fillId="3" borderId="12" xfId="2" applyNumberFormat="1" applyFont="1" applyFill="1" applyBorder="1" applyProtection="1"/>
    <xf numFmtId="3" fontId="19" fillId="3" borderId="3" xfId="2" applyNumberFormat="1" applyFont="1" applyFill="1" applyBorder="1" applyProtection="1"/>
    <xf numFmtId="3" fontId="19" fillId="3" borderId="4" xfId="2" applyNumberFormat="1" applyFont="1" applyFill="1" applyBorder="1" applyProtection="1"/>
    <xf numFmtId="3" fontId="16" fillId="3" borderId="3" xfId="2" applyNumberFormat="1" applyFont="1" applyFill="1" applyBorder="1" applyProtection="1"/>
    <xf numFmtId="3" fontId="19" fillId="3" borderId="5" xfId="2" applyNumberFormat="1" applyFont="1" applyFill="1" applyBorder="1" applyProtection="1"/>
    <xf numFmtId="3" fontId="16" fillId="3" borderId="13" xfId="2" applyNumberFormat="1" applyFont="1" applyFill="1" applyBorder="1" applyProtection="1"/>
    <xf numFmtId="3" fontId="16" fillId="3" borderId="14" xfId="2" applyNumberFormat="1" applyFont="1" applyFill="1" applyBorder="1" applyProtection="1"/>
    <xf numFmtId="3" fontId="16" fillId="3" borderId="2" xfId="2" applyNumberFormat="1" applyFont="1" applyFill="1" applyBorder="1" applyProtection="1"/>
    <xf numFmtId="3" fontId="19" fillId="3" borderId="2" xfId="2" applyNumberFormat="1" applyFont="1" applyFill="1" applyBorder="1" applyProtection="1"/>
    <xf numFmtId="1" fontId="16" fillId="2" borderId="0" xfId="2" applyNumberFormat="1" applyFont="1" applyFill="1" applyBorder="1" applyAlignment="1" applyProtection="1">
      <protection locked="0"/>
    </xf>
    <xf numFmtId="1" fontId="15" fillId="2" borderId="0" xfId="2" applyNumberFormat="1" applyFont="1" applyFill="1" applyBorder="1" applyAlignment="1" applyProtection="1">
      <protection locked="0"/>
    </xf>
    <xf numFmtId="1" fontId="17" fillId="2" borderId="0" xfId="2" applyNumberFormat="1" applyFont="1" applyFill="1" applyBorder="1" applyAlignment="1" applyProtection="1">
      <protection locked="0"/>
    </xf>
    <xf numFmtId="1" fontId="19" fillId="3" borderId="14" xfId="2" applyNumberFormat="1" applyFont="1" applyFill="1" applyBorder="1" applyAlignment="1" applyProtection="1">
      <alignment horizontal="centerContinuous"/>
    </xf>
    <xf numFmtId="1" fontId="19" fillId="3" borderId="15" xfId="2" applyNumberFormat="1" applyFont="1" applyFill="1" applyBorder="1" applyAlignment="1" applyProtection="1">
      <alignment horizontal="centerContinuous"/>
    </xf>
    <xf numFmtId="1" fontId="19" fillId="3" borderId="8" xfId="2" applyNumberFormat="1" applyFont="1" applyFill="1" applyBorder="1" applyAlignment="1" applyProtection="1">
      <alignment horizontal="centerContinuous"/>
    </xf>
    <xf numFmtId="1" fontId="19" fillId="3" borderId="0" xfId="2" applyNumberFormat="1" applyFont="1" applyFill="1" applyBorder="1" applyAlignment="1" applyProtection="1">
      <alignment horizontal="centerContinuous"/>
    </xf>
    <xf numFmtId="1" fontId="19" fillId="3" borderId="3" xfId="2" applyNumberFormat="1" applyFont="1" applyFill="1" applyBorder="1" applyAlignment="1" applyProtection="1">
      <alignment horizontal="centerContinuous"/>
    </xf>
    <xf numFmtId="1" fontId="19" fillId="3" borderId="5" xfId="2" applyNumberFormat="1" applyFont="1" applyFill="1" applyBorder="1" applyAlignment="1" applyProtection="1">
      <alignment horizontal="centerContinuous"/>
    </xf>
    <xf numFmtId="1" fontId="19" fillId="3" borderId="2" xfId="2" applyNumberFormat="1" applyFont="1" applyFill="1" applyBorder="1" applyAlignment="1" applyProtection="1">
      <alignment horizontal="centerContinuous"/>
    </xf>
    <xf numFmtId="1" fontId="19" fillId="3" borderId="12" xfId="2" applyNumberFormat="1" applyFont="1" applyFill="1" applyBorder="1" applyAlignment="1" applyProtection="1">
      <alignment horizontal="centerContinuous"/>
    </xf>
    <xf numFmtId="1" fontId="19" fillId="3" borderId="4" xfId="2" applyNumberFormat="1" applyFont="1" applyFill="1" applyBorder="1" applyAlignment="1" applyProtection="1">
      <alignment horizontal="centerContinuous"/>
    </xf>
    <xf numFmtId="1" fontId="16" fillId="3" borderId="3" xfId="2" applyNumberFormat="1" applyFont="1" applyFill="1" applyBorder="1" applyAlignment="1" applyProtection="1">
      <alignment horizontal="center"/>
    </xf>
    <xf numFmtId="1" fontId="19" fillId="3" borderId="3" xfId="2" applyNumberFormat="1" applyFont="1" applyFill="1" applyBorder="1" applyAlignment="1" applyProtection="1">
      <alignment horizontal="center"/>
    </xf>
    <xf numFmtId="1" fontId="16" fillId="3" borderId="3" xfId="2" quotePrefix="1" applyNumberFormat="1" applyFont="1" applyFill="1" applyBorder="1" applyAlignment="1" applyProtection="1">
      <alignment horizontal="center"/>
    </xf>
    <xf numFmtId="1" fontId="19" fillId="3" borderId="3" xfId="2" quotePrefix="1" applyNumberFormat="1" applyFont="1" applyFill="1" applyBorder="1" applyAlignment="1" applyProtection="1">
      <alignment horizontal="center"/>
    </xf>
    <xf numFmtId="3" fontId="15" fillId="2" borderId="0" xfId="2" applyNumberFormat="1" applyFont="1" applyFill="1" applyBorder="1" applyAlignment="1" applyProtection="1">
      <alignment horizontal="centerContinuous"/>
      <protection locked="0"/>
    </xf>
    <xf numFmtId="0" fontId="5" fillId="0" borderId="0" xfId="7" applyFont="1" applyProtection="1">
      <protection locked="0"/>
    </xf>
    <xf numFmtId="3" fontId="15" fillId="2" borderId="0" xfId="2" applyNumberFormat="1" applyFont="1" applyFill="1" applyBorder="1" applyAlignment="1" applyProtection="1">
      <alignment horizontal="center"/>
      <protection locked="0"/>
    </xf>
    <xf numFmtId="167" fontId="17" fillId="3" borderId="1" xfId="2" applyNumberFormat="1" applyFont="1" applyFill="1" applyBorder="1" applyAlignment="1" applyProtection="1">
      <alignment horizontal="left"/>
    </xf>
    <xf numFmtId="3" fontId="17" fillId="3" borderId="1" xfId="2" applyNumberFormat="1" applyFont="1" applyFill="1" applyBorder="1" applyAlignment="1" applyProtection="1">
      <alignment horizontal="left"/>
    </xf>
    <xf numFmtId="3" fontId="17" fillId="2" borderId="0" xfId="2" applyNumberFormat="1" applyFont="1" applyFill="1" applyBorder="1" applyAlignment="1" applyProtection="1">
      <alignment horizontal="right"/>
      <protection locked="0"/>
    </xf>
    <xf numFmtId="3" fontId="15" fillId="2" borderId="1" xfId="2" applyNumberFormat="1" applyFont="1" applyFill="1" applyBorder="1" applyAlignment="1" applyProtection="1">
      <alignment horizontal="left"/>
      <protection locked="0"/>
    </xf>
    <xf numFmtId="3" fontId="15" fillId="2" borderId="1" xfId="2" applyNumberFormat="1" applyFont="1" applyFill="1" applyBorder="1" applyAlignment="1" applyProtection="1">
      <alignment horizontal="centerContinuous"/>
      <protection locked="0"/>
    </xf>
    <xf numFmtId="3" fontId="18" fillId="2" borderId="1" xfId="2" applyNumberFormat="1" applyFont="1" applyFill="1" applyBorder="1" applyAlignment="1" applyProtection="1">
      <alignment horizontal="left"/>
      <protection locked="0"/>
    </xf>
    <xf numFmtId="1" fontId="17" fillId="3" borderId="1" xfId="2" applyNumberFormat="1" applyFont="1" applyFill="1" applyBorder="1" applyAlignment="1" applyProtection="1">
      <alignment horizontal="left"/>
    </xf>
    <xf numFmtId="3" fontId="16" fillId="2" borderId="0" xfId="2" applyNumberFormat="1" applyFont="1" applyFill="1" applyBorder="1" applyAlignment="1" applyProtection="1">
      <alignment horizontal="left"/>
      <protection locked="0"/>
    </xf>
    <xf numFmtId="3" fontId="16" fillId="2" borderId="0" xfId="1" applyNumberFormat="1" applyFont="1" applyFill="1" applyBorder="1" applyAlignment="1" applyProtection="1">
      <alignment horizontal="left"/>
      <protection locked="0"/>
    </xf>
    <xf numFmtId="3" fontId="16" fillId="2" borderId="0" xfId="2" applyNumberFormat="1" applyFont="1" applyFill="1" applyBorder="1" applyAlignment="1" applyProtection="1">
      <alignment horizontal="center"/>
      <protection locked="0"/>
    </xf>
    <xf numFmtId="3" fontId="16" fillId="2" borderId="0" xfId="2" applyNumberFormat="1" applyFont="1" applyFill="1" applyBorder="1" applyProtection="1">
      <protection locked="0"/>
    </xf>
    <xf numFmtId="3" fontId="15" fillId="2" borderId="2" xfId="4" applyNumberFormat="1" applyFont="1" applyFill="1" applyBorder="1" applyAlignment="1" applyProtection="1">
      <alignment horizontal="centerContinuous"/>
      <protection locked="0"/>
    </xf>
    <xf numFmtId="3" fontId="15" fillId="2" borderId="2" xfId="2" applyNumberFormat="1" applyFont="1" applyFill="1" applyBorder="1" applyAlignment="1" applyProtection="1">
      <alignment horizontal="center"/>
      <protection locked="0"/>
    </xf>
    <xf numFmtId="3" fontId="15" fillId="2" borderId="2" xfId="2" applyNumberFormat="1" applyFont="1" applyFill="1" applyBorder="1" applyAlignment="1" applyProtection="1">
      <alignment horizontal="centerContinuous"/>
      <protection locked="0"/>
    </xf>
    <xf numFmtId="3" fontId="16" fillId="2" borderId="2" xfId="2" applyNumberFormat="1" applyFont="1" applyFill="1" applyBorder="1" applyProtection="1">
      <protection locked="0"/>
    </xf>
    <xf numFmtId="3" fontId="17" fillId="3" borderId="16" xfId="2" applyNumberFormat="1" applyFont="1" applyFill="1" applyBorder="1" applyAlignment="1" applyProtection="1">
      <alignment horizontal="centerContinuous"/>
    </xf>
    <xf numFmtId="3" fontId="17" fillId="3" borderId="11" xfId="2" applyNumberFormat="1" applyFont="1" applyFill="1" applyBorder="1" applyAlignment="1" applyProtection="1">
      <alignment horizontal="centerContinuous"/>
    </xf>
    <xf numFmtId="3" fontId="17" fillId="2" borderId="0" xfId="2" applyNumberFormat="1" applyFont="1" applyFill="1" applyBorder="1" applyProtection="1">
      <protection locked="0"/>
    </xf>
    <xf numFmtId="3" fontId="17" fillId="3" borderId="17" xfId="2" applyNumberFormat="1" applyFont="1" applyFill="1" applyBorder="1" applyAlignment="1" applyProtection="1">
      <alignment horizontal="centerContinuous"/>
    </xf>
    <xf numFmtId="3" fontId="17" fillId="3" borderId="15" xfId="2" applyNumberFormat="1" applyFont="1" applyFill="1" applyBorder="1" applyAlignment="1" applyProtection="1">
      <alignment horizontal="centerContinuous"/>
    </xf>
    <xf numFmtId="3" fontId="17" fillId="3" borderId="0" xfId="2" applyNumberFormat="1" applyFont="1" applyFill="1" applyBorder="1" applyAlignment="1" applyProtection="1">
      <alignment horizontal="centerContinuous"/>
    </xf>
    <xf numFmtId="3" fontId="17" fillId="3" borderId="9" xfId="2" applyNumberFormat="1" applyFont="1" applyFill="1" applyBorder="1" applyAlignment="1" applyProtection="1">
      <alignment horizontal="centerContinuous"/>
    </xf>
    <xf numFmtId="3" fontId="17" fillId="3" borderId="3" xfId="2" applyNumberFormat="1" applyFont="1" applyFill="1" applyBorder="1" applyAlignment="1" applyProtection="1">
      <alignment horizontal="centerContinuous"/>
    </xf>
    <xf numFmtId="3" fontId="17" fillId="3" borderId="12" xfId="2" applyNumberFormat="1" applyFont="1" applyFill="1" applyBorder="1" applyAlignment="1" applyProtection="1">
      <alignment horizontal="centerContinuous"/>
    </xf>
    <xf numFmtId="3" fontId="17" fillId="3" borderId="2" xfId="2" applyNumberFormat="1" applyFont="1" applyFill="1" applyBorder="1" applyAlignment="1" applyProtection="1">
      <alignment horizontal="centerContinuous"/>
    </xf>
    <xf numFmtId="3" fontId="17" fillId="2" borderId="2" xfId="2" applyNumberFormat="1" applyFont="1" applyFill="1" applyBorder="1" applyProtection="1">
      <protection locked="0"/>
    </xf>
    <xf numFmtId="3" fontId="16" fillId="3" borderId="9" xfId="2" applyNumberFormat="1" applyFont="1" applyFill="1" applyBorder="1" applyAlignment="1" applyProtection="1">
      <alignment horizontal="center"/>
    </xf>
    <xf numFmtId="3" fontId="16" fillId="3" borderId="5" xfId="2" applyNumberFormat="1" applyFont="1" applyFill="1" applyBorder="1" applyAlignment="1" applyProtection="1">
      <alignment horizontal="center"/>
    </xf>
    <xf numFmtId="3" fontId="16" fillId="3" borderId="3" xfId="2" applyNumberFormat="1" applyFont="1" applyFill="1" applyBorder="1" applyAlignment="1" applyProtection="1">
      <alignment horizontal="center"/>
    </xf>
    <xf numFmtId="3" fontId="16" fillId="3" borderId="10" xfId="2" applyNumberFormat="1" applyFont="1" applyFill="1" applyBorder="1" applyAlignment="1" applyProtection="1">
      <alignment horizontal="left"/>
    </xf>
    <xf numFmtId="3" fontId="16" fillId="3" borderId="4" xfId="2" applyNumberFormat="1" applyFont="1" applyFill="1" applyBorder="1" applyAlignment="1" applyProtection="1">
      <alignment horizontal="center"/>
    </xf>
    <xf numFmtId="3" fontId="16" fillId="3" borderId="12" xfId="2" quotePrefix="1" applyNumberFormat="1" applyFont="1" applyFill="1" applyBorder="1" applyAlignment="1" applyProtection="1">
      <alignment horizontal="center"/>
    </xf>
    <xf numFmtId="3" fontId="19" fillId="3" borderId="9" xfId="2" applyNumberFormat="1" applyFont="1" applyFill="1" applyBorder="1" applyAlignment="1" applyProtection="1">
      <alignment horizontal="left"/>
    </xf>
    <xf numFmtId="3" fontId="16" fillId="2" borderId="3" xfId="2" applyNumberFormat="1" applyFont="1" applyFill="1" applyBorder="1" applyProtection="1">
      <protection locked="0"/>
    </xf>
    <xf numFmtId="3" fontId="16" fillId="3" borderId="4" xfId="2" quotePrefix="1" applyNumberFormat="1" applyFont="1" applyFill="1" applyBorder="1" applyAlignment="1" applyProtection="1">
      <alignment horizontal="center"/>
    </xf>
    <xf numFmtId="3" fontId="16" fillId="3" borderId="10" xfId="2" applyNumberFormat="1" applyFont="1" applyFill="1" applyBorder="1" applyProtection="1"/>
    <xf numFmtId="3" fontId="16" fillId="3" borderId="18" xfId="2" applyNumberFormat="1" applyFont="1" applyFill="1" applyBorder="1" applyProtection="1"/>
    <xf numFmtId="3" fontId="16" fillId="3" borderId="7" xfId="2" quotePrefix="1" applyNumberFormat="1" applyFont="1" applyFill="1" applyBorder="1" applyAlignment="1" applyProtection="1">
      <alignment horizontal="center"/>
    </xf>
    <xf numFmtId="3" fontId="19" fillId="3" borderId="5" xfId="2" applyNumberFormat="1" applyFont="1" applyFill="1" applyBorder="1" applyAlignment="1" applyProtection="1">
      <alignment horizontal="center"/>
    </xf>
    <xf numFmtId="3" fontId="19" fillId="2" borderId="0" xfId="2" applyNumberFormat="1" applyFont="1" applyFill="1" applyBorder="1" applyProtection="1">
      <protection locked="0"/>
    </xf>
    <xf numFmtId="3" fontId="19" fillId="3" borderId="10" xfId="2" applyNumberFormat="1" applyFont="1" applyFill="1" applyBorder="1" applyAlignment="1" applyProtection="1">
      <alignment horizontal="left"/>
    </xf>
    <xf numFmtId="3" fontId="19" fillId="3" borderId="4" xfId="2" quotePrefix="1" applyNumberFormat="1" applyFont="1" applyFill="1" applyBorder="1" applyAlignment="1" applyProtection="1">
      <alignment horizontal="center"/>
    </xf>
    <xf numFmtId="3" fontId="19" fillId="2" borderId="2" xfId="2" applyNumberFormat="1" applyFont="1" applyFill="1" applyBorder="1" applyProtection="1">
      <protection locked="0"/>
    </xf>
    <xf numFmtId="3" fontId="16" fillId="3" borderId="5" xfId="2" quotePrefix="1" applyNumberFormat="1" applyFont="1" applyFill="1" applyBorder="1" applyAlignment="1" applyProtection="1">
      <alignment horizontal="center"/>
    </xf>
    <xf numFmtId="3" fontId="26" fillId="3" borderId="3" xfId="2" applyNumberFormat="1" applyFont="1" applyFill="1" applyBorder="1" applyProtection="1"/>
    <xf numFmtId="3" fontId="16" fillId="2" borderId="0" xfId="2" applyNumberFormat="1" applyFont="1" applyFill="1" applyBorder="1" applyAlignment="1" applyProtection="1">
      <alignment horizontal="right"/>
      <protection locked="0"/>
    </xf>
    <xf numFmtId="3" fontId="16" fillId="2" borderId="2" xfId="2" applyNumberFormat="1" applyFont="1" applyFill="1" applyBorder="1" applyAlignment="1" applyProtection="1">
      <alignment horizontal="right"/>
      <protection locked="0"/>
    </xf>
    <xf numFmtId="3" fontId="19" fillId="2" borderId="3" xfId="2" applyNumberFormat="1" applyFont="1" applyFill="1" applyBorder="1" applyProtection="1">
      <protection locked="0"/>
    </xf>
    <xf numFmtId="3" fontId="15" fillId="3" borderId="9" xfId="2" applyNumberFormat="1" applyFont="1" applyFill="1" applyBorder="1" applyAlignment="1" applyProtection="1">
      <alignment horizontal="left"/>
    </xf>
    <xf numFmtId="3" fontId="15" fillId="2" borderId="0" xfId="2" applyNumberFormat="1" applyFont="1" applyFill="1" applyBorder="1" applyProtection="1">
      <protection locked="0"/>
    </xf>
    <xf numFmtId="3" fontId="15" fillId="3" borderId="10" xfId="2" applyNumberFormat="1" applyFont="1" applyFill="1" applyBorder="1" applyAlignment="1" applyProtection="1">
      <alignment horizontal="left"/>
    </xf>
    <xf numFmtId="3" fontId="15" fillId="2" borderId="2" xfId="2" applyNumberFormat="1" applyFont="1" applyFill="1" applyBorder="1" applyProtection="1">
      <protection locked="0"/>
    </xf>
    <xf numFmtId="3" fontId="16" fillId="2" borderId="0" xfId="2" quotePrefix="1" applyNumberFormat="1" applyFont="1" applyFill="1" applyBorder="1" applyAlignment="1" applyProtection="1">
      <alignment horizontal="center"/>
      <protection locked="0"/>
    </xf>
    <xf numFmtId="3" fontId="19" fillId="2" borderId="0" xfId="2" applyNumberFormat="1" applyFont="1" applyFill="1" applyBorder="1" applyAlignment="1" applyProtection="1">
      <alignment horizontal="left"/>
      <protection locked="0"/>
    </xf>
    <xf numFmtId="3" fontId="19" fillId="2" borderId="0" xfId="2" quotePrefix="1" applyNumberFormat="1" applyFont="1" applyFill="1" applyBorder="1" applyAlignment="1" applyProtection="1">
      <alignment horizontal="center"/>
      <protection locked="0"/>
    </xf>
    <xf numFmtId="3" fontId="20" fillId="2" borderId="0" xfId="2" applyNumberFormat="1" applyFont="1" applyFill="1" applyBorder="1" applyAlignment="1" applyProtection="1">
      <alignment horizontal="left"/>
      <protection locked="0"/>
    </xf>
    <xf numFmtId="3" fontId="20" fillId="2" borderId="0" xfId="2" applyNumberFormat="1" applyFont="1" applyFill="1" applyBorder="1" applyProtection="1">
      <protection locked="0"/>
    </xf>
    <xf numFmtId="3" fontId="20" fillId="2" borderId="0" xfId="2" quotePrefix="1" applyNumberFormat="1" applyFont="1" applyFill="1" applyBorder="1" applyAlignment="1" applyProtection="1">
      <alignment horizontal="center"/>
      <protection locked="0"/>
    </xf>
    <xf numFmtId="3" fontId="20" fillId="2" borderId="3" xfId="2" applyNumberFormat="1" applyFont="1" applyFill="1" applyBorder="1" applyProtection="1">
      <protection locked="0"/>
    </xf>
    <xf numFmtId="3" fontId="16" fillId="2" borderId="5" xfId="2" applyNumberFormat="1" applyFont="1" applyFill="1" applyBorder="1" applyAlignment="1" applyProtection="1">
      <alignment horizontal="center"/>
      <protection locked="0"/>
    </xf>
    <xf numFmtId="3" fontId="16" fillId="3" borderId="16" xfId="2" applyNumberFormat="1" applyFont="1" applyFill="1" applyBorder="1" applyAlignment="1" applyProtection="1">
      <alignment horizontal="center"/>
    </xf>
    <xf numFmtId="3" fontId="16" fillId="3" borderId="16" xfId="2" applyNumberFormat="1" applyFont="1" applyFill="1" applyBorder="1" applyProtection="1">
      <protection locked="0"/>
    </xf>
    <xf numFmtId="3" fontId="16" fillId="3" borderId="11" xfId="2" applyNumberFormat="1" applyFont="1" applyFill="1" applyBorder="1" applyProtection="1">
      <protection locked="0"/>
    </xf>
    <xf numFmtId="3" fontId="14" fillId="3" borderId="18" xfId="2" applyNumberFormat="1" applyFont="1" applyFill="1" applyBorder="1" applyAlignment="1" applyProtection="1">
      <alignment horizontal="left"/>
    </xf>
    <xf numFmtId="3" fontId="16" fillId="3" borderId="19" xfId="2" quotePrefix="1" applyNumberFormat="1" applyFont="1" applyFill="1" applyBorder="1" applyAlignment="1" applyProtection="1">
      <alignment horizontal="right"/>
    </xf>
    <xf numFmtId="3" fontId="14" fillId="3" borderId="20" xfId="2" applyNumberFormat="1" applyFont="1" applyFill="1" applyBorder="1" applyAlignment="1" applyProtection="1">
      <alignment horizontal="left"/>
    </xf>
    <xf numFmtId="3" fontId="16" fillId="3" borderId="21" xfId="2" applyNumberFormat="1" applyFont="1" applyFill="1" applyBorder="1" applyAlignment="1" applyProtection="1">
      <alignment horizontal="center"/>
    </xf>
    <xf numFmtId="3" fontId="16" fillId="3" borderId="21" xfId="2" applyNumberFormat="1" applyFont="1" applyFill="1" applyBorder="1" applyProtection="1">
      <protection locked="0"/>
    </xf>
    <xf numFmtId="3" fontId="19" fillId="3" borderId="21" xfId="2" applyNumberFormat="1" applyFont="1" applyFill="1" applyBorder="1" applyProtection="1">
      <protection locked="0"/>
    </xf>
    <xf numFmtId="3" fontId="16" fillId="3" borderId="9" xfId="2" applyNumberFormat="1" applyFont="1" applyFill="1" applyBorder="1" applyAlignment="1" applyProtection="1"/>
    <xf numFmtId="3" fontId="16" fillId="3" borderId="22" xfId="2" applyNumberFormat="1" applyFont="1" applyFill="1" applyBorder="1" applyAlignment="1" applyProtection="1"/>
    <xf numFmtId="3" fontId="16" fillId="3" borderId="19" xfId="2" quotePrefix="1" applyNumberFormat="1" applyFont="1" applyFill="1" applyBorder="1" applyAlignment="1" applyProtection="1">
      <alignment horizontal="center"/>
    </xf>
    <xf numFmtId="3" fontId="28" fillId="3" borderId="23" xfId="2" applyNumberFormat="1" applyFont="1" applyFill="1" applyBorder="1" applyAlignment="1" applyProtection="1">
      <alignment horizontal="center"/>
    </xf>
    <xf numFmtId="3" fontId="20" fillId="3" borderId="18" xfId="2" applyNumberFormat="1" applyFont="1" applyFill="1" applyBorder="1" applyAlignment="1" applyProtection="1">
      <alignment horizontal="centerContinuous"/>
    </xf>
    <xf numFmtId="3" fontId="20" fillId="3" borderId="16" xfId="2" applyNumberFormat="1" applyFont="1" applyFill="1" applyBorder="1" applyAlignment="1" applyProtection="1">
      <alignment horizontal="centerContinuous"/>
    </xf>
    <xf numFmtId="3" fontId="20" fillId="3" borderId="11" xfId="2" applyNumberFormat="1" applyFont="1" applyFill="1" applyBorder="1" applyAlignment="1" applyProtection="1">
      <alignment horizontal="centerContinuous"/>
    </xf>
    <xf numFmtId="3" fontId="20" fillId="3" borderId="9" xfId="2" applyNumberFormat="1" applyFont="1" applyFill="1" applyBorder="1" applyAlignment="1" applyProtection="1">
      <alignment horizontal="centerContinuous"/>
    </xf>
    <xf numFmtId="3" fontId="20" fillId="3" borderId="10" xfId="2" applyNumberFormat="1" applyFont="1" applyFill="1" applyBorder="1" applyAlignment="1" applyProtection="1">
      <alignment horizontal="centerContinuous"/>
    </xf>
    <xf numFmtId="3" fontId="20" fillId="3" borderId="0" xfId="2" applyNumberFormat="1" applyFont="1" applyFill="1" applyBorder="1" applyAlignment="1" applyProtection="1">
      <alignment horizontal="centerContinuous"/>
    </xf>
    <xf numFmtId="3" fontId="20" fillId="3" borderId="2" xfId="2" applyNumberFormat="1" applyFont="1" applyFill="1" applyBorder="1" applyAlignment="1" applyProtection="1">
      <alignment horizontal="centerContinuous"/>
    </xf>
    <xf numFmtId="3" fontId="16" fillId="2" borderId="12" xfId="2" applyNumberFormat="1" applyFont="1" applyFill="1" applyBorder="1" applyAlignment="1" applyProtection="1">
      <alignment horizontal="right"/>
      <protection locked="0"/>
    </xf>
    <xf numFmtId="3" fontId="16" fillId="4" borderId="12" xfId="2" applyNumberFormat="1" applyFont="1" applyFill="1" applyBorder="1" applyAlignment="1" applyProtection="1">
      <alignment horizontal="right"/>
      <protection locked="0"/>
    </xf>
    <xf numFmtId="3" fontId="16" fillId="2" borderId="11" xfId="2" applyNumberFormat="1" applyFont="1" applyFill="1" applyBorder="1" applyAlignment="1" applyProtection="1">
      <alignment horizontal="right"/>
      <protection locked="0"/>
    </xf>
    <xf numFmtId="3" fontId="16" fillId="4" borderId="11" xfId="2" applyNumberFormat="1" applyFont="1" applyFill="1" applyBorder="1" applyAlignment="1" applyProtection="1">
      <alignment horizontal="right"/>
      <protection locked="0"/>
    </xf>
    <xf numFmtId="3" fontId="19" fillId="3" borderId="3" xfId="2" applyNumberFormat="1" applyFont="1" applyFill="1" applyBorder="1" applyAlignment="1" applyProtection="1">
      <alignment horizontal="right"/>
    </xf>
    <xf numFmtId="3" fontId="19" fillId="3" borderId="12" xfId="2" applyNumberFormat="1" applyFont="1" applyFill="1" applyBorder="1" applyAlignment="1" applyProtection="1">
      <alignment horizontal="right"/>
    </xf>
    <xf numFmtId="3" fontId="16" fillId="2" borderId="16" xfId="2" applyNumberFormat="1" applyFont="1" applyFill="1" applyBorder="1" applyProtection="1">
      <protection locked="0"/>
    </xf>
    <xf numFmtId="3" fontId="15" fillId="3" borderId="1" xfId="2" applyNumberFormat="1" applyFont="1" applyFill="1" applyBorder="1" applyAlignment="1" applyProtection="1">
      <alignment horizontal="center"/>
      <protection locked="0"/>
    </xf>
    <xf numFmtId="3" fontId="17" fillId="3" borderId="1" xfId="2" applyNumberFormat="1" applyFont="1" applyFill="1" applyBorder="1" applyAlignment="1" applyProtection="1">
      <alignment horizontal="left"/>
      <protection locked="0"/>
    </xf>
    <xf numFmtId="3" fontId="20" fillId="3" borderId="9" xfId="2" applyNumberFormat="1" applyFont="1" applyFill="1" applyBorder="1" applyAlignment="1" applyProtection="1">
      <alignment horizontal="center"/>
      <protection locked="0"/>
    </xf>
    <xf numFmtId="3" fontId="17" fillId="3" borderId="0" xfId="2" applyNumberFormat="1" applyFont="1" applyFill="1" applyBorder="1" applyAlignment="1" applyProtection="1">
      <alignment horizontal="center"/>
      <protection locked="0"/>
    </xf>
    <xf numFmtId="3" fontId="17" fillId="3" borderId="9" xfId="2" applyNumberFormat="1" applyFont="1" applyFill="1" applyBorder="1" applyAlignment="1" applyProtection="1">
      <alignment horizontal="center"/>
      <protection locked="0"/>
    </xf>
    <xf numFmtId="3" fontId="17" fillId="3" borderId="10" xfId="2" applyNumberFormat="1" applyFont="1" applyFill="1" applyBorder="1" applyAlignment="1" applyProtection="1">
      <alignment horizontal="center"/>
      <protection locked="0"/>
    </xf>
    <xf numFmtId="3" fontId="17" fillId="3" borderId="2" xfId="2" applyNumberFormat="1" applyFont="1" applyFill="1" applyBorder="1" applyAlignment="1" applyProtection="1">
      <alignment horizontal="center"/>
      <protection locked="0"/>
    </xf>
    <xf numFmtId="3" fontId="16" fillId="3" borderId="10" xfId="2" applyNumberFormat="1" applyFont="1" applyFill="1" applyBorder="1" applyAlignment="1" applyProtection="1">
      <alignment horizontal="left"/>
      <protection locked="0"/>
    </xf>
    <xf numFmtId="3" fontId="16" fillId="3" borderId="17" xfId="2" applyNumberFormat="1" applyFont="1" applyFill="1" applyBorder="1" applyAlignment="1" applyProtection="1">
      <alignment horizontal="left"/>
      <protection locked="0"/>
    </xf>
    <xf numFmtId="3" fontId="16" fillId="3" borderId="14" xfId="2" applyNumberFormat="1" applyFont="1" applyFill="1" applyBorder="1" applyAlignment="1" applyProtection="1">
      <alignment horizontal="right"/>
      <protection locked="0"/>
    </xf>
    <xf numFmtId="3" fontId="16" fillId="3" borderId="2" xfId="2" applyNumberFormat="1" applyFont="1" applyFill="1" applyBorder="1" applyAlignment="1" applyProtection="1">
      <alignment horizontal="right" vertical="top"/>
      <protection locked="0"/>
    </xf>
    <xf numFmtId="3" fontId="19" fillId="3" borderId="21" xfId="2" applyNumberFormat="1" applyFont="1" applyFill="1" applyBorder="1" applyProtection="1"/>
    <xf numFmtId="3" fontId="19" fillId="3" borderId="24" xfId="2" applyNumberFormat="1" applyFont="1" applyFill="1" applyBorder="1" applyProtection="1"/>
    <xf numFmtId="3" fontId="16" fillId="2" borderId="2" xfId="2" applyNumberFormat="1" applyFont="1" applyFill="1" applyBorder="1" applyProtection="1"/>
    <xf numFmtId="3" fontId="16" fillId="2" borderId="12" xfId="2" applyNumberFormat="1" applyFont="1" applyFill="1" applyBorder="1" applyProtection="1"/>
    <xf numFmtId="3" fontId="18" fillId="2" borderId="0" xfId="2" applyNumberFormat="1" applyFont="1" applyFill="1" applyBorder="1" applyAlignment="1" applyProtection="1">
      <alignment horizontal="centerContinuous"/>
      <protection locked="0"/>
    </xf>
    <xf numFmtId="41" fontId="15" fillId="2" borderId="0" xfId="2" applyFont="1" applyFill="1" applyBorder="1" applyAlignment="1" applyProtection="1">
      <alignment horizontal="center"/>
      <protection locked="0"/>
    </xf>
    <xf numFmtId="41" fontId="15" fillId="2" borderId="2" xfId="2" applyFont="1" applyFill="1" applyBorder="1" applyAlignment="1" applyProtection="1">
      <alignment horizontal="center"/>
      <protection locked="0"/>
    </xf>
    <xf numFmtId="41" fontId="19" fillId="2" borderId="0" xfId="2" applyFont="1" applyFill="1" applyBorder="1" applyAlignment="1" applyProtection="1">
      <alignment horizontal="center"/>
      <protection locked="0"/>
    </xf>
    <xf numFmtId="41" fontId="20" fillId="2" borderId="0" xfId="2" applyFont="1" applyFill="1" applyBorder="1" applyAlignment="1" applyProtection="1">
      <alignment horizontal="center"/>
      <protection locked="0"/>
    </xf>
    <xf numFmtId="41" fontId="20" fillId="2" borderId="2" xfId="2" applyFont="1" applyFill="1" applyBorder="1" applyAlignment="1" applyProtection="1">
      <alignment horizontal="center"/>
      <protection locked="0"/>
    </xf>
    <xf numFmtId="41" fontId="18" fillId="2" borderId="0" xfId="2" applyFont="1" applyFill="1" applyBorder="1" applyProtection="1">
      <protection locked="0"/>
    </xf>
    <xf numFmtId="41" fontId="18" fillId="2" borderId="2" xfId="2" applyFont="1" applyFill="1" applyBorder="1" applyProtection="1">
      <protection locked="0"/>
    </xf>
    <xf numFmtId="41" fontId="14" fillId="2" borderId="0" xfId="2" applyFont="1" applyFill="1" applyBorder="1" applyProtection="1">
      <protection locked="0"/>
    </xf>
    <xf numFmtId="41" fontId="14" fillId="2" borderId="2" xfId="2" applyFont="1" applyFill="1" applyBorder="1" applyProtection="1">
      <protection locked="0"/>
    </xf>
    <xf numFmtId="166" fontId="18" fillId="2" borderId="0" xfId="2" quotePrefix="1" applyNumberFormat="1" applyFont="1" applyFill="1" applyBorder="1" applyAlignment="1" applyProtection="1">
      <alignment horizontal="center"/>
      <protection locked="0"/>
    </xf>
    <xf numFmtId="3" fontId="18" fillId="2" borderId="0" xfId="2" applyNumberFormat="1" applyFont="1" applyFill="1" applyBorder="1" applyAlignment="1" applyProtection="1">
      <alignment horizontal="center"/>
      <protection locked="0"/>
    </xf>
    <xf numFmtId="41" fontId="18" fillId="2" borderId="9" xfId="2" applyFont="1" applyFill="1" applyBorder="1" applyProtection="1">
      <protection locked="0"/>
    </xf>
    <xf numFmtId="166" fontId="18" fillId="2" borderId="9" xfId="2" quotePrefix="1" applyNumberFormat="1" applyFont="1" applyFill="1" applyBorder="1" applyAlignment="1" applyProtection="1">
      <alignment horizontal="center"/>
      <protection locked="0"/>
    </xf>
    <xf numFmtId="3" fontId="18" fillId="2" borderId="9" xfId="2" applyNumberFormat="1" applyFont="1" applyFill="1" applyBorder="1" applyAlignment="1" applyProtection="1">
      <alignment horizontal="center"/>
      <protection locked="0"/>
    </xf>
    <xf numFmtId="3" fontId="18" fillId="2" borderId="5" xfId="2" applyNumberFormat="1" applyFont="1" applyFill="1" applyBorder="1" applyAlignment="1" applyProtection="1">
      <alignment horizontal="center"/>
      <protection locked="0"/>
    </xf>
    <xf numFmtId="41" fontId="18" fillId="2" borderId="0" xfId="2" applyFont="1" applyFill="1" applyProtection="1">
      <protection locked="0"/>
    </xf>
    <xf numFmtId="166" fontId="18" fillId="2" borderId="9" xfId="2" applyNumberFormat="1" applyFont="1" applyFill="1" applyBorder="1" applyAlignment="1" applyProtection="1">
      <alignment horizontal="center"/>
      <protection locked="0"/>
    </xf>
    <xf numFmtId="169" fontId="17" fillId="2" borderId="0" xfId="2" applyNumberFormat="1" applyFont="1" applyFill="1" applyBorder="1" applyAlignment="1" applyProtection="1">
      <alignment horizontal="left"/>
      <protection locked="0"/>
    </xf>
    <xf numFmtId="3" fontId="18" fillId="2" borderId="0" xfId="2" applyNumberFormat="1" applyFont="1" applyFill="1" applyBorder="1" applyAlignment="1" applyProtection="1">
      <alignment horizontal="right"/>
      <protection locked="0"/>
    </xf>
    <xf numFmtId="166" fontId="31" fillId="2" borderId="0" xfId="2" applyNumberFormat="1" applyFont="1" applyFill="1" applyBorder="1" applyAlignment="1" applyProtection="1">
      <alignment horizontal="centerContinuous"/>
      <protection locked="0"/>
    </xf>
    <xf numFmtId="3" fontId="31" fillId="2" borderId="0" xfId="2" applyNumberFormat="1" applyFont="1" applyFill="1" applyBorder="1" applyAlignment="1" applyProtection="1">
      <alignment horizontal="centerContinuous"/>
      <protection locked="0"/>
    </xf>
    <xf numFmtId="3" fontId="32" fillId="2" borderId="0" xfId="2" applyNumberFormat="1" applyFont="1" applyFill="1" applyBorder="1" applyAlignment="1" applyProtection="1">
      <alignment horizontal="centerContinuous"/>
      <protection locked="0"/>
    </xf>
    <xf numFmtId="3" fontId="18" fillId="2" borderId="6" xfId="2" applyNumberFormat="1" applyFont="1" applyFill="1" applyBorder="1" applyAlignment="1" applyProtection="1">
      <alignment horizontal="left"/>
      <protection locked="0"/>
    </xf>
    <xf numFmtId="41" fontId="20" fillId="2" borderId="9" xfId="2" applyFont="1" applyFill="1" applyBorder="1" applyAlignment="1" applyProtection="1">
      <alignment horizontal="center"/>
      <protection locked="0"/>
    </xf>
    <xf numFmtId="3" fontId="14" fillId="3" borderId="25" xfId="1" applyNumberFormat="1" applyFont="1" applyFill="1" applyBorder="1" applyAlignment="1" applyProtection="1">
      <alignment horizontal="center"/>
    </xf>
    <xf numFmtId="3" fontId="27" fillId="2" borderId="0" xfId="2" applyNumberFormat="1" applyFont="1" applyFill="1" applyBorder="1" applyAlignment="1" applyProtection="1">
      <alignment horizontal="right" vertical="top"/>
    </xf>
    <xf numFmtId="3" fontId="15" fillId="3" borderId="3" xfId="2" applyNumberFormat="1" applyFont="1" applyFill="1" applyBorder="1" applyAlignment="1" applyProtection="1">
      <alignment horizontal="right"/>
    </xf>
    <xf numFmtId="3" fontId="15" fillId="3" borderId="12" xfId="2" applyNumberFormat="1" applyFont="1" applyFill="1" applyBorder="1" applyAlignment="1" applyProtection="1">
      <alignment horizontal="right"/>
    </xf>
    <xf numFmtId="3" fontId="16" fillId="3" borderId="9" xfId="2" applyNumberFormat="1" applyFont="1" applyFill="1" applyBorder="1" applyAlignment="1" applyProtection="1">
      <alignment horizontal="left"/>
    </xf>
    <xf numFmtId="3" fontId="16" fillId="2" borderId="3" xfId="2" applyNumberFormat="1" applyFont="1" applyFill="1" applyBorder="1" applyAlignment="1" applyProtection="1">
      <alignment horizontal="right"/>
      <protection locked="0"/>
    </xf>
    <xf numFmtId="3" fontId="16" fillId="4" borderId="3" xfId="2" applyNumberFormat="1" applyFont="1" applyFill="1" applyBorder="1" applyAlignment="1" applyProtection="1">
      <alignment horizontal="right"/>
      <protection locked="0"/>
    </xf>
    <xf numFmtId="3" fontId="16" fillId="3" borderId="26" xfId="2" applyNumberFormat="1" applyFont="1" applyFill="1" applyBorder="1" applyAlignment="1" applyProtection="1">
      <alignment horizontal="left"/>
    </xf>
    <xf numFmtId="3" fontId="16" fillId="3" borderId="27" xfId="2" quotePrefix="1" applyNumberFormat="1" applyFont="1" applyFill="1" applyBorder="1" applyAlignment="1" applyProtection="1">
      <alignment horizontal="center"/>
    </xf>
    <xf numFmtId="3" fontId="16" fillId="2" borderId="28" xfId="2" applyNumberFormat="1" applyFont="1" applyFill="1" applyBorder="1" applyAlignment="1" applyProtection="1">
      <alignment horizontal="right"/>
      <protection locked="0"/>
    </xf>
    <xf numFmtId="3" fontId="16" fillId="4" borderId="28" xfId="2" applyNumberFormat="1" applyFont="1" applyFill="1" applyBorder="1" applyAlignment="1" applyProtection="1">
      <alignment horizontal="right"/>
      <protection locked="0"/>
    </xf>
    <xf numFmtId="3" fontId="19" fillId="3" borderId="28" xfId="2" applyNumberFormat="1" applyFont="1" applyFill="1" applyBorder="1" applyAlignment="1" applyProtection="1">
      <alignment horizontal="right"/>
    </xf>
    <xf numFmtId="3" fontId="16" fillId="3" borderId="29" xfId="2" applyNumberFormat="1" applyFont="1" applyFill="1" applyBorder="1" applyAlignment="1" applyProtection="1">
      <alignment horizontal="left"/>
    </xf>
    <xf numFmtId="3" fontId="16" fillId="3" borderId="30" xfId="2" quotePrefix="1" applyNumberFormat="1" applyFont="1" applyFill="1" applyBorder="1" applyAlignment="1" applyProtection="1">
      <alignment horizontal="center"/>
    </xf>
    <xf numFmtId="3" fontId="16" fillId="2" borderId="31" xfId="2" applyNumberFormat="1" applyFont="1" applyFill="1" applyBorder="1" applyAlignment="1" applyProtection="1">
      <alignment horizontal="right"/>
      <protection locked="0"/>
    </xf>
    <xf numFmtId="3" fontId="16" fillId="4" borderId="31" xfId="2" applyNumberFormat="1" applyFont="1" applyFill="1" applyBorder="1" applyAlignment="1" applyProtection="1">
      <alignment horizontal="right"/>
      <protection locked="0"/>
    </xf>
    <xf numFmtId="3" fontId="19" fillId="3" borderId="31" xfId="2" applyNumberFormat="1" applyFont="1" applyFill="1" applyBorder="1" applyAlignment="1" applyProtection="1">
      <alignment horizontal="right"/>
    </xf>
    <xf numFmtId="3" fontId="18" fillId="2" borderId="10" xfId="1" applyNumberFormat="1" applyFont="1" applyFill="1" applyBorder="1" applyAlignment="1" applyProtection="1">
      <alignment horizontal="center"/>
      <protection locked="0"/>
    </xf>
    <xf numFmtId="3" fontId="18" fillId="2" borderId="4" xfId="2" applyNumberFormat="1" applyFont="1" applyFill="1" applyBorder="1" applyAlignment="1" applyProtection="1">
      <alignment horizontal="center"/>
      <protection locked="0"/>
    </xf>
    <xf numFmtId="3" fontId="18" fillId="2" borderId="10" xfId="2" applyNumberFormat="1" applyFont="1" applyFill="1" applyBorder="1" applyAlignment="1" applyProtection="1">
      <alignment horizontal="center"/>
      <protection locked="0"/>
    </xf>
    <xf numFmtId="0" fontId="0" fillId="2" borderId="0" xfId="0" applyFill="1" applyProtection="1">
      <protection locked="0"/>
    </xf>
    <xf numFmtId="164" fontId="27" fillId="2" borderId="0" xfId="4" quotePrefix="1" applyFont="1" applyFill="1" applyBorder="1" applyAlignment="1" applyProtection="1">
      <alignment horizontal="left" wrapText="1"/>
    </xf>
    <xf numFmtId="1" fontId="27" fillId="2" borderId="0" xfId="2" applyNumberFormat="1" applyFont="1" applyFill="1" applyBorder="1" applyAlignment="1" applyProtection="1">
      <alignment horizontal="right" vertical="top"/>
    </xf>
    <xf numFmtId="3" fontId="15" fillId="3" borderId="18" xfId="2" applyNumberFormat="1" applyFont="1" applyFill="1" applyBorder="1" applyAlignment="1" applyProtection="1">
      <alignment horizontal="center" wrapText="1"/>
    </xf>
    <xf numFmtId="41" fontId="20" fillId="3" borderId="7" xfId="2" applyFont="1" applyFill="1" applyBorder="1" applyAlignment="1" applyProtection="1">
      <alignment horizontal="center" wrapText="1"/>
    </xf>
    <xf numFmtId="41" fontId="20" fillId="3" borderId="16" xfId="2" applyFont="1" applyFill="1" applyBorder="1" applyAlignment="1" applyProtection="1">
      <alignment horizontal="center" wrapText="1"/>
    </xf>
    <xf numFmtId="166" fontId="19" fillId="3" borderId="7" xfId="2" applyNumberFormat="1" applyFont="1" applyFill="1" applyBorder="1" applyAlignment="1" applyProtection="1">
      <alignment horizontal="center" wrapText="1"/>
    </xf>
    <xf numFmtId="41" fontId="18" fillId="3" borderId="10" xfId="2" applyFont="1" applyFill="1" applyBorder="1" applyProtection="1"/>
    <xf numFmtId="166" fontId="18" fillId="3" borderId="10" xfId="2" quotePrefix="1" applyNumberFormat="1" applyFont="1" applyFill="1" applyBorder="1" applyAlignment="1" applyProtection="1">
      <alignment horizontal="center"/>
    </xf>
    <xf numFmtId="165" fontId="18" fillId="3" borderId="10" xfId="1" applyNumberFormat="1" applyFont="1" applyFill="1" applyBorder="1" applyProtection="1"/>
    <xf numFmtId="41" fontId="18" fillId="3" borderId="10" xfId="2" applyFont="1" applyFill="1" applyBorder="1" applyAlignment="1" applyProtection="1">
      <alignment wrapText="1"/>
    </xf>
    <xf numFmtId="41" fontId="14" fillId="3" borderId="32" xfId="2" applyFont="1" applyFill="1" applyBorder="1" applyProtection="1"/>
    <xf numFmtId="166" fontId="14" fillId="3" borderId="25" xfId="2" quotePrefix="1" applyNumberFormat="1" applyFont="1" applyFill="1" applyBorder="1" applyAlignment="1" applyProtection="1">
      <alignment horizontal="center"/>
    </xf>
    <xf numFmtId="41" fontId="35" fillId="2" borderId="0" xfId="2" applyFont="1" applyFill="1" applyBorder="1" applyProtection="1"/>
    <xf numFmtId="41" fontId="18" fillId="2" borderId="0" xfId="2" applyFont="1" applyFill="1" applyBorder="1" applyProtection="1"/>
    <xf numFmtId="166" fontId="18" fillId="2" borderId="0" xfId="2" quotePrefix="1" applyNumberFormat="1" applyFont="1" applyFill="1" applyBorder="1" applyAlignment="1" applyProtection="1">
      <alignment horizontal="center"/>
    </xf>
    <xf numFmtId="3" fontId="18" fillId="2" borderId="0" xfId="2" applyNumberFormat="1" applyFont="1" applyFill="1" applyBorder="1" applyAlignment="1" applyProtection="1">
      <alignment horizontal="center"/>
    </xf>
    <xf numFmtId="1" fontId="16" fillId="3" borderId="0" xfId="2" applyNumberFormat="1" applyFont="1" applyFill="1" applyBorder="1" applyAlignment="1" applyProtection="1">
      <alignment horizontal="center"/>
      <protection locked="0"/>
    </xf>
    <xf numFmtId="1" fontId="16" fillId="3" borderId="0" xfId="2" applyNumberFormat="1" applyFont="1" applyFill="1" applyBorder="1" applyProtection="1">
      <protection locked="0"/>
    </xf>
    <xf numFmtId="1" fontId="19" fillId="3" borderId="0" xfId="2" applyNumberFormat="1" applyFont="1" applyFill="1" applyBorder="1" applyProtection="1">
      <protection locked="0"/>
    </xf>
    <xf numFmtId="1" fontId="16" fillId="3" borderId="2" xfId="2" applyNumberFormat="1" applyFont="1" applyFill="1" applyBorder="1" applyAlignment="1" applyProtection="1">
      <alignment horizontal="center"/>
      <protection locked="0"/>
    </xf>
    <xf numFmtId="1" fontId="16" fillId="3" borderId="2" xfId="2" applyNumberFormat="1" applyFont="1" applyFill="1" applyBorder="1" applyProtection="1">
      <protection locked="0"/>
    </xf>
    <xf numFmtId="1" fontId="19" fillId="3" borderId="2" xfId="2" applyNumberFormat="1" applyFont="1" applyFill="1" applyBorder="1" applyProtection="1">
      <protection locked="0"/>
    </xf>
    <xf numFmtId="1" fontId="19" fillId="3" borderId="12" xfId="2" applyNumberFormat="1" applyFont="1" applyFill="1" applyBorder="1" applyProtection="1">
      <protection locked="0"/>
    </xf>
    <xf numFmtId="3" fontId="19" fillId="3" borderId="12" xfId="2" applyNumberFormat="1" applyFont="1" applyFill="1" applyBorder="1" applyProtection="1">
      <protection locked="0"/>
    </xf>
    <xf numFmtId="3" fontId="16" fillId="3" borderId="2" xfId="2" applyNumberFormat="1" applyFont="1" applyFill="1" applyBorder="1" applyProtection="1">
      <protection locked="0"/>
    </xf>
    <xf numFmtId="3" fontId="19" fillId="3" borderId="2" xfId="2" applyNumberFormat="1" applyFont="1" applyFill="1" applyBorder="1" applyProtection="1">
      <protection locked="0"/>
    </xf>
    <xf numFmtId="1" fontId="25" fillId="2" borderId="0" xfId="4" quotePrefix="1" applyNumberFormat="1" applyFont="1" applyFill="1" applyBorder="1" applyAlignment="1" applyProtection="1">
      <alignment horizontal="left"/>
    </xf>
    <xf numFmtId="1" fontId="16" fillId="2" borderId="0" xfId="2" applyNumberFormat="1" applyFont="1" applyFill="1" applyBorder="1" applyAlignment="1" applyProtection="1">
      <alignment horizontal="left"/>
    </xf>
    <xf numFmtId="1" fontId="36" fillId="2" borderId="0" xfId="2" applyNumberFormat="1" applyFont="1" applyFill="1" applyBorder="1" applyAlignment="1" applyProtection="1">
      <alignment horizontal="right" vertical="top"/>
    </xf>
    <xf numFmtId="0" fontId="3" fillId="2" borderId="0" xfId="6" applyFill="1" applyProtection="1">
      <protection locked="0"/>
    </xf>
    <xf numFmtId="0" fontId="3" fillId="0" borderId="0" xfId="6" applyProtection="1">
      <protection locked="0"/>
    </xf>
    <xf numFmtId="0" fontId="6" fillId="2" borderId="0" xfId="6" applyFont="1" applyFill="1" applyAlignment="1" applyProtection="1">
      <alignment horizontal="centerContinuous"/>
      <protection locked="0"/>
    </xf>
    <xf numFmtId="0" fontId="6" fillId="2" borderId="0" xfId="6" applyFont="1" applyFill="1" applyAlignment="1" applyProtection="1">
      <alignment horizontal="center"/>
      <protection locked="0"/>
    </xf>
    <xf numFmtId="169" fontId="30" fillId="2" borderId="0" xfId="2" applyNumberFormat="1" applyFont="1" applyFill="1" applyBorder="1" applyAlignment="1" applyProtection="1">
      <alignment horizontal="right"/>
      <protection locked="0"/>
    </xf>
    <xf numFmtId="0" fontId="5" fillId="2" borderId="0" xfId="6" applyFont="1" applyFill="1" applyProtection="1">
      <protection locked="0"/>
    </xf>
    <xf numFmtId="169" fontId="6" fillId="2" borderId="0" xfId="6" applyNumberFormat="1" applyFont="1" applyFill="1" applyAlignment="1" applyProtection="1">
      <alignment horizontal="center"/>
      <protection locked="0"/>
    </xf>
    <xf numFmtId="0" fontId="4" fillId="2" borderId="0" xfId="6" applyFont="1" applyFill="1" applyProtection="1">
      <protection locked="0"/>
    </xf>
    <xf numFmtId="0" fontId="3" fillId="2" borderId="0" xfId="6" quotePrefix="1" applyFill="1" applyAlignment="1" applyProtection="1">
      <alignment horizontal="center"/>
      <protection locked="0"/>
    </xf>
    <xf numFmtId="0" fontId="3" fillId="2" borderId="0" xfId="6" applyFill="1" applyAlignment="1" applyProtection="1">
      <alignment horizontal="center"/>
      <protection locked="0"/>
    </xf>
    <xf numFmtId="0" fontId="6" fillId="2" borderId="0" xfId="6" applyFont="1" applyFill="1" applyProtection="1">
      <protection locked="0"/>
    </xf>
    <xf numFmtId="3" fontId="3" fillId="2" borderId="33" xfId="6" applyNumberFormat="1" applyFill="1" applyBorder="1" applyProtection="1">
      <protection locked="0"/>
    </xf>
    <xf numFmtId="3" fontId="3" fillId="2" borderId="34" xfId="6" applyNumberFormat="1" applyFill="1" applyBorder="1" applyProtection="1">
      <protection locked="0"/>
    </xf>
    <xf numFmtId="3" fontId="3" fillId="2" borderId="0" xfId="6" applyNumberFormat="1" applyFill="1" applyProtection="1">
      <protection locked="0"/>
    </xf>
    <xf numFmtId="3" fontId="6" fillId="2" borderId="0" xfId="6" applyNumberFormat="1" applyFont="1" applyFill="1" applyProtection="1">
      <protection locked="0"/>
    </xf>
    <xf numFmtId="3" fontId="37" fillId="2" borderId="0" xfId="0" applyNumberFormat="1" applyFont="1" applyFill="1" applyProtection="1">
      <protection locked="0"/>
    </xf>
    <xf numFmtId="0" fontId="5" fillId="0" borderId="0" xfId="6" applyFont="1" applyProtection="1">
      <protection locked="0"/>
    </xf>
    <xf numFmtId="0" fontId="3" fillId="2" borderId="0" xfId="6" applyFill="1"/>
    <xf numFmtId="3" fontId="16" fillId="2" borderId="0" xfId="2" applyNumberFormat="1" applyFont="1" applyFill="1" applyBorder="1" applyAlignment="1" applyProtection="1">
      <alignment horizontal="centerContinuous"/>
      <protection locked="0"/>
    </xf>
    <xf numFmtId="3" fontId="19" fillId="2" borderId="0" xfId="2" applyNumberFormat="1" applyFont="1" applyFill="1" applyBorder="1" applyAlignment="1" applyProtection="1">
      <alignment horizontal="centerContinuous"/>
      <protection locked="0"/>
    </xf>
    <xf numFmtId="3" fontId="19" fillId="2" borderId="0" xfId="2" applyNumberFormat="1" applyFont="1" applyFill="1" applyBorder="1" applyAlignment="1" applyProtection="1">
      <alignment horizontal="center"/>
      <protection locked="0"/>
    </xf>
    <xf numFmtId="3" fontId="30" fillId="2" borderId="0" xfId="2" applyNumberFormat="1" applyFont="1" applyFill="1" applyBorder="1" applyAlignment="1" applyProtection="1">
      <alignment horizontal="centerContinuous"/>
      <protection locked="0"/>
    </xf>
    <xf numFmtId="3" fontId="16" fillId="2" borderId="5" xfId="2" applyNumberFormat="1" applyFont="1" applyFill="1" applyBorder="1" applyProtection="1">
      <protection locked="0"/>
    </xf>
    <xf numFmtId="3" fontId="16" fillId="4" borderId="0" xfId="2" applyNumberFormat="1" applyFont="1" applyFill="1" applyBorder="1" applyProtection="1">
      <protection locked="0"/>
    </xf>
    <xf numFmtId="3" fontId="19" fillId="4" borderId="0" xfId="2" applyNumberFormat="1" applyFont="1" applyFill="1" applyBorder="1" applyProtection="1">
      <protection locked="0"/>
    </xf>
    <xf numFmtId="3" fontId="16" fillId="3" borderId="4" xfId="2" applyNumberFormat="1" applyFont="1" applyFill="1" applyBorder="1" applyProtection="1"/>
    <xf numFmtId="3" fontId="16" fillId="3" borderId="5" xfId="2" applyNumberFormat="1" applyFont="1" applyFill="1" applyBorder="1" applyProtection="1"/>
    <xf numFmtId="3" fontId="16" fillId="3" borderId="15" xfId="2" applyNumberFormat="1" applyFont="1" applyFill="1" applyBorder="1" applyProtection="1"/>
    <xf numFmtId="3" fontId="16" fillId="3" borderId="12" xfId="2" applyNumberFormat="1" applyFont="1" applyFill="1" applyBorder="1" applyProtection="1"/>
    <xf numFmtId="170" fontId="15" fillId="2" borderId="6" xfId="2" applyNumberFormat="1" applyFont="1" applyFill="1" applyBorder="1" applyAlignment="1" applyProtection="1">
      <alignment horizontal="left"/>
      <protection locked="0"/>
    </xf>
    <xf numFmtId="3" fontId="16" fillId="2" borderId="35" xfId="2" applyNumberFormat="1" applyFont="1" applyFill="1" applyBorder="1" applyProtection="1">
      <protection locked="0"/>
    </xf>
    <xf numFmtId="3" fontId="16" fillId="2" borderId="36" xfId="2" applyNumberFormat="1" applyFont="1" applyFill="1" applyBorder="1" applyProtection="1">
      <protection locked="0"/>
    </xf>
    <xf numFmtId="3" fontId="16" fillId="2" borderId="37" xfId="2" applyNumberFormat="1" applyFont="1" applyFill="1" applyBorder="1" applyProtection="1">
      <protection locked="0"/>
    </xf>
    <xf numFmtId="3" fontId="16" fillId="3" borderId="38" xfId="2" applyNumberFormat="1" applyFont="1" applyFill="1" applyBorder="1" applyProtection="1"/>
    <xf numFmtId="3" fontId="16" fillId="3" borderId="11" xfId="2" applyNumberFormat="1" applyFont="1" applyFill="1" applyBorder="1" applyProtection="1"/>
    <xf numFmtId="3" fontId="16" fillId="3" borderId="39" xfId="2" applyNumberFormat="1" applyFont="1" applyFill="1" applyBorder="1" applyProtection="1"/>
    <xf numFmtId="3" fontId="16" fillId="5" borderId="2" xfId="2" applyNumberFormat="1" applyFont="1" applyFill="1" applyBorder="1" applyProtection="1"/>
    <xf numFmtId="3" fontId="16" fillId="5" borderId="14" xfId="2" applyNumberFormat="1" applyFont="1" applyFill="1" applyBorder="1" applyProtection="1"/>
    <xf numFmtId="3" fontId="16" fillId="5" borderId="0" xfId="2" applyNumberFormat="1" applyFont="1" applyFill="1" applyBorder="1" applyProtection="1"/>
    <xf numFmtId="3" fontId="16" fillId="5" borderId="39" xfId="2" applyNumberFormat="1" applyFont="1" applyFill="1" applyBorder="1" applyProtection="1"/>
    <xf numFmtId="3" fontId="19" fillId="5" borderId="40" xfId="2" applyNumberFormat="1" applyFont="1" applyFill="1" applyBorder="1" applyProtection="1"/>
    <xf numFmtId="3" fontId="19" fillId="5" borderId="0" xfId="2" applyNumberFormat="1" applyFont="1" applyFill="1" applyBorder="1" applyProtection="1"/>
    <xf numFmtId="3" fontId="16" fillId="5" borderId="40" xfId="2" applyNumberFormat="1" applyFont="1" applyFill="1" applyBorder="1" applyProtection="1"/>
    <xf numFmtId="3" fontId="16" fillId="3" borderId="16" xfId="2" applyNumberFormat="1" applyFont="1" applyFill="1" applyBorder="1" applyProtection="1"/>
    <xf numFmtId="3" fontId="16" fillId="3" borderId="7" xfId="2" applyNumberFormat="1" applyFont="1" applyFill="1" applyBorder="1" applyProtection="1"/>
    <xf numFmtId="3" fontId="19" fillId="3" borderId="41" xfId="2" applyNumberFormat="1" applyFont="1" applyFill="1" applyBorder="1" applyProtection="1"/>
    <xf numFmtId="3" fontId="19" fillId="5" borderId="42" xfId="2" applyNumberFormat="1" applyFont="1" applyFill="1" applyBorder="1" applyProtection="1"/>
    <xf numFmtId="3" fontId="19" fillId="3" borderId="43" xfId="2" applyNumberFormat="1" applyFont="1" applyFill="1" applyBorder="1" applyProtection="1"/>
    <xf numFmtId="3" fontId="19" fillId="3" borderId="44" xfId="2" applyNumberFormat="1" applyFont="1" applyFill="1" applyBorder="1" applyProtection="1"/>
    <xf numFmtId="3" fontId="19" fillId="3" borderId="45" xfId="2" applyNumberFormat="1" applyFont="1" applyFill="1" applyBorder="1" applyProtection="1"/>
    <xf numFmtId="3" fontId="19" fillId="3" borderId="39" xfId="2" applyNumberFormat="1" applyFont="1" applyFill="1" applyBorder="1" applyProtection="1"/>
    <xf numFmtId="3" fontId="19" fillId="3" borderId="36" xfId="2" applyNumberFormat="1" applyFont="1" applyFill="1" applyBorder="1" applyProtection="1"/>
    <xf numFmtId="3" fontId="16" fillId="5" borderId="46" xfId="2" applyNumberFormat="1" applyFont="1" applyFill="1" applyBorder="1" applyProtection="1"/>
    <xf numFmtId="3" fontId="16" fillId="5" borderId="47" xfId="2" applyNumberFormat="1" applyFont="1" applyFill="1" applyBorder="1" applyProtection="1"/>
    <xf numFmtId="3" fontId="16" fillId="5" borderId="38" xfId="2" applyNumberFormat="1" applyFont="1" applyFill="1" applyBorder="1" applyProtection="1"/>
    <xf numFmtId="3" fontId="19" fillId="5" borderId="44" xfId="2" applyNumberFormat="1" applyFont="1" applyFill="1" applyBorder="1" applyProtection="1"/>
    <xf numFmtId="3" fontId="19" fillId="5" borderId="45" xfId="2" applyNumberFormat="1" applyFont="1" applyFill="1" applyBorder="1" applyProtection="1"/>
    <xf numFmtId="3" fontId="16" fillId="2" borderId="7" xfId="2" applyNumberFormat="1" applyFont="1" applyFill="1" applyBorder="1" applyProtection="1">
      <protection locked="0"/>
    </xf>
    <xf numFmtId="3" fontId="16" fillId="4" borderId="7" xfId="2" applyNumberFormat="1" applyFont="1" applyFill="1" applyBorder="1" applyProtection="1">
      <protection locked="0"/>
    </xf>
    <xf numFmtId="3" fontId="33" fillId="3" borderId="48" xfId="2" applyNumberFormat="1" applyFont="1" applyFill="1" applyBorder="1" applyAlignment="1" applyProtection="1">
      <alignment horizontal="center"/>
    </xf>
    <xf numFmtId="3" fontId="33" fillId="3" borderId="49" xfId="2" applyNumberFormat="1" applyFont="1" applyFill="1" applyBorder="1" applyAlignment="1" applyProtection="1">
      <alignment horizontal="center"/>
    </xf>
    <xf numFmtId="3" fontId="33" fillId="3" borderId="34" xfId="2" applyNumberFormat="1" applyFont="1" applyFill="1" applyBorder="1" applyAlignment="1" applyProtection="1">
      <alignment horizontal="center"/>
    </xf>
    <xf numFmtId="3" fontId="33" fillId="3" borderId="50" xfId="2" applyNumberFormat="1" applyFont="1" applyFill="1" applyBorder="1" applyAlignment="1" applyProtection="1">
      <alignment horizontal="center"/>
    </xf>
    <xf numFmtId="3" fontId="17" fillId="0" borderId="2" xfId="2" applyNumberFormat="1" applyFont="1" applyFill="1" applyBorder="1" applyProtection="1">
      <protection locked="0"/>
    </xf>
    <xf numFmtId="3" fontId="17" fillId="0" borderId="16" xfId="2" applyNumberFormat="1" applyFont="1" applyFill="1" applyBorder="1" applyProtection="1">
      <protection locked="0"/>
    </xf>
    <xf numFmtId="170" fontId="17" fillId="0" borderId="16" xfId="2" applyNumberFormat="1" applyFont="1" applyFill="1" applyBorder="1" applyAlignment="1" applyProtection="1">
      <alignment horizontal="left"/>
      <protection locked="0"/>
    </xf>
    <xf numFmtId="3" fontId="45" fillId="2" borderId="0" xfId="2" applyNumberFormat="1" applyFont="1" applyFill="1" applyBorder="1" applyAlignment="1" applyProtection="1">
      <alignment horizontal="right" vertical="top"/>
      <protection locked="0"/>
    </xf>
    <xf numFmtId="3" fontId="46" fillId="2" borderId="0" xfId="2" applyNumberFormat="1" applyFont="1" applyFill="1" applyBorder="1" applyAlignment="1" applyProtection="1">
      <alignment horizontal="right" vertical="top"/>
      <protection locked="0"/>
    </xf>
    <xf numFmtId="3" fontId="19" fillId="3" borderId="51" xfId="2" applyNumberFormat="1" applyFont="1" applyFill="1" applyBorder="1" applyProtection="1"/>
    <xf numFmtId="3" fontId="19" fillId="3" borderId="52" xfId="2" applyNumberFormat="1" applyFont="1" applyFill="1" applyBorder="1" applyProtection="1"/>
    <xf numFmtId="3" fontId="45" fillId="2" borderId="0" xfId="2" applyNumberFormat="1" applyFont="1" applyFill="1" applyBorder="1" applyAlignment="1" applyProtection="1">
      <alignment horizontal="right" vertical="top"/>
    </xf>
    <xf numFmtId="0" fontId="17" fillId="3" borderId="10" xfId="2" applyNumberFormat="1" applyFont="1" applyFill="1" applyBorder="1" applyAlignment="1" applyProtection="1">
      <alignment horizontal="left"/>
    </xf>
    <xf numFmtId="1" fontId="17" fillId="3" borderId="10" xfId="2" applyNumberFormat="1" applyFont="1" applyFill="1" applyBorder="1" applyAlignment="1" applyProtection="1">
      <alignment horizontal="left"/>
    </xf>
    <xf numFmtId="3" fontId="16" fillId="3" borderId="14" xfId="2" applyNumberFormat="1" applyFont="1" applyFill="1" applyBorder="1" applyAlignment="1" applyProtection="1">
      <alignment horizontal="centerContinuous"/>
    </xf>
    <xf numFmtId="3" fontId="16" fillId="3" borderId="15" xfId="2" applyNumberFormat="1" applyFont="1" applyFill="1" applyBorder="1" applyAlignment="1" applyProtection="1">
      <alignment horizontal="centerContinuous"/>
    </xf>
    <xf numFmtId="3" fontId="16" fillId="3" borderId="8" xfId="2" applyNumberFormat="1" applyFont="1" applyFill="1" applyBorder="1" applyAlignment="1" applyProtection="1">
      <alignment horizontal="centerContinuous"/>
    </xf>
    <xf numFmtId="3" fontId="16" fillId="3" borderId="0" xfId="2" applyNumberFormat="1" applyFont="1" applyFill="1" applyBorder="1" applyAlignment="1" applyProtection="1">
      <alignment horizontal="centerContinuous"/>
    </xf>
    <xf numFmtId="3" fontId="16" fillId="3" borderId="3" xfId="2" applyNumberFormat="1" applyFont="1" applyFill="1" applyBorder="1" applyAlignment="1" applyProtection="1">
      <alignment horizontal="centerContinuous"/>
    </xf>
    <xf numFmtId="3" fontId="16" fillId="3" borderId="5" xfId="2" applyNumberFormat="1" applyFont="1" applyFill="1" applyBorder="1" applyAlignment="1" applyProtection="1">
      <alignment horizontal="centerContinuous"/>
    </xf>
    <xf numFmtId="3" fontId="16" fillId="3" borderId="53" xfId="2" applyNumberFormat="1" applyFont="1" applyFill="1" applyBorder="1" applyAlignment="1" applyProtection="1">
      <alignment horizontal="centerContinuous"/>
    </xf>
    <xf numFmtId="3" fontId="16" fillId="3" borderId="37" xfId="2" applyNumberFormat="1" applyFont="1" applyFill="1" applyBorder="1" applyAlignment="1" applyProtection="1">
      <alignment horizontal="center"/>
    </xf>
    <xf numFmtId="3" fontId="16" fillId="3" borderId="37" xfId="2" applyNumberFormat="1" applyFont="1" applyFill="1" applyBorder="1" applyAlignment="1" applyProtection="1">
      <alignment horizontal="centerContinuous"/>
    </xf>
    <xf numFmtId="3" fontId="16" fillId="3" borderId="12" xfId="2" applyNumberFormat="1" applyFont="1" applyFill="1" applyBorder="1" applyAlignment="1" applyProtection="1">
      <alignment horizontal="center"/>
    </xf>
    <xf numFmtId="3" fontId="16" fillId="3" borderId="36" xfId="2" applyNumberFormat="1" applyFont="1" applyFill="1" applyBorder="1" applyAlignment="1" applyProtection="1">
      <alignment horizontal="center"/>
    </xf>
    <xf numFmtId="3" fontId="16" fillId="3" borderId="47" xfId="2" applyNumberFormat="1" applyFont="1" applyFill="1" applyBorder="1" applyAlignment="1" applyProtection="1">
      <alignment horizontal="centerContinuous"/>
    </xf>
    <xf numFmtId="3" fontId="16" fillId="3" borderId="12" xfId="2" applyNumberFormat="1" applyFont="1" applyFill="1" applyBorder="1" applyAlignment="1" applyProtection="1">
      <alignment horizontal="centerContinuous"/>
    </xf>
    <xf numFmtId="3" fontId="16" fillId="3" borderId="36" xfId="2" applyNumberFormat="1" applyFont="1" applyFill="1" applyBorder="1" applyAlignment="1" applyProtection="1">
      <alignment horizontal="centerContinuous"/>
    </xf>
    <xf numFmtId="3" fontId="16" fillId="3" borderId="2" xfId="2" applyNumberFormat="1" applyFont="1" applyFill="1" applyBorder="1" applyAlignment="1" applyProtection="1">
      <alignment horizontal="centerContinuous"/>
    </xf>
    <xf numFmtId="3" fontId="16" fillId="3" borderId="4" xfId="2" applyNumberFormat="1" applyFont="1" applyFill="1" applyBorder="1" applyAlignment="1" applyProtection="1">
      <alignment horizontal="centerContinuous"/>
    </xf>
    <xf numFmtId="3" fontId="16" fillId="3" borderId="40" xfId="2" applyNumberFormat="1" applyFont="1" applyFill="1" applyBorder="1" applyAlignment="1" applyProtection="1">
      <alignment horizontal="center"/>
    </xf>
    <xf numFmtId="3" fontId="16" fillId="3" borderId="39" xfId="2" quotePrefix="1" applyNumberFormat="1" applyFont="1" applyFill="1" applyBorder="1" applyAlignment="1" applyProtection="1">
      <alignment horizontal="center"/>
    </xf>
    <xf numFmtId="3" fontId="16" fillId="3" borderId="36" xfId="2" quotePrefix="1" applyNumberFormat="1" applyFont="1" applyFill="1" applyBorder="1" applyAlignment="1" applyProtection="1">
      <alignment horizontal="center"/>
    </xf>
    <xf numFmtId="3" fontId="16" fillId="3" borderId="54" xfId="2" applyNumberFormat="1" applyFont="1" applyFill="1" applyBorder="1" applyAlignment="1" applyProtection="1">
      <alignment horizontal="centerContinuous"/>
    </xf>
    <xf numFmtId="3" fontId="16" fillId="3" borderId="55" xfId="2" applyNumberFormat="1" applyFont="1" applyFill="1" applyBorder="1" applyAlignment="1" applyProtection="1">
      <alignment horizontal="centerContinuous"/>
    </xf>
    <xf numFmtId="3" fontId="16" fillId="3" borderId="56" xfId="2" applyNumberFormat="1" applyFont="1" applyFill="1" applyBorder="1" applyAlignment="1" applyProtection="1">
      <alignment horizontal="center"/>
    </xf>
    <xf numFmtId="3" fontId="16" fillId="3" borderId="48" xfId="2" quotePrefix="1" applyNumberFormat="1" applyFont="1" applyFill="1" applyBorder="1" applyAlignment="1" applyProtection="1">
      <alignment horizontal="center"/>
    </xf>
    <xf numFmtId="3" fontId="16" fillId="3" borderId="14" xfId="2" applyNumberFormat="1" applyFont="1" applyFill="1" applyBorder="1" applyAlignment="1" applyProtection="1">
      <alignment horizontal="center"/>
    </xf>
    <xf numFmtId="3" fontId="16" fillId="3" borderId="57" xfId="2" applyNumberFormat="1" applyFont="1" applyFill="1" applyBorder="1" applyAlignment="1" applyProtection="1">
      <alignment horizontal="center"/>
    </xf>
    <xf numFmtId="3" fontId="16" fillId="3" borderId="12" xfId="2" applyNumberFormat="1" applyFont="1" applyFill="1" applyBorder="1" applyAlignment="1" applyProtection="1">
      <alignment horizontal="left"/>
    </xf>
    <xf numFmtId="3" fontId="16" fillId="3" borderId="10" xfId="2" applyNumberFormat="1" applyFont="1" applyFill="1" applyBorder="1" applyAlignment="1" applyProtection="1">
      <alignment horizontal="center"/>
    </xf>
    <xf numFmtId="3" fontId="24" fillId="3" borderId="14" xfId="2" applyNumberFormat="1" applyFont="1" applyFill="1" applyBorder="1" applyAlignment="1" applyProtection="1">
      <alignment horizontal="left"/>
    </xf>
    <xf numFmtId="3" fontId="30" fillId="3" borderId="2" xfId="2" applyNumberFormat="1" applyFont="1" applyFill="1" applyBorder="1" applyAlignment="1" applyProtection="1">
      <alignment horizontal="left" indent="2"/>
    </xf>
    <xf numFmtId="3" fontId="16" fillId="3" borderId="2" xfId="2" applyNumberFormat="1" applyFont="1" applyFill="1" applyBorder="1" applyAlignment="1" applyProtection="1">
      <alignment horizontal="center"/>
    </xf>
    <xf numFmtId="3" fontId="18" fillId="3" borderId="2" xfId="2" applyNumberFormat="1" applyFont="1" applyFill="1" applyBorder="1" applyAlignment="1" applyProtection="1">
      <alignment horizontal="left" indent="4"/>
    </xf>
    <xf numFmtId="3" fontId="16" fillId="3" borderId="10" xfId="2" quotePrefix="1" applyNumberFormat="1" applyFont="1" applyFill="1" applyBorder="1" applyAlignment="1" applyProtection="1">
      <alignment horizontal="center"/>
    </xf>
    <xf numFmtId="3" fontId="30" fillId="3" borderId="14" xfId="2" applyNumberFormat="1" applyFont="1" applyFill="1" applyBorder="1" applyAlignment="1" applyProtection="1">
      <alignment horizontal="left" indent="2"/>
    </xf>
    <xf numFmtId="3" fontId="16" fillId="3" borderId="16" xfId="2" quotePrefix="1" applyNumberFormat="1" applyFont="1" applyFill="1" applyBorder="1" applyAlignment="1" applyProtection="1">
      <alignment horizontal="center"/>
    </xf>
    <xf numFmtId="3" fontId="16" fillId="3" borderId="9" xfId="2" quotePrefix="1" applyNumberFormat="1" applyFont="1" applyFill="1" applyBorder="1" applyAlignment="1" applyProtection="1">
      <alignment horizontal="center"/>
    </xf>
    <xf numFmtId="3" fontId="18" fillId="3" borderId="11" xfId="2" applyNumberFormat="1" applyFont="1" applyFill="1" applyBorder="1" applyAlignment="1" applyProtection="1">
      <alignment horizontal="left" indent="4"/>
    </xf>
    <xf numFmtId="3" fontId="14" fillId="3" borderId="42" xfId="2" applyNumberFormat="1" applyFont="1" applyFill="1" applyBorder="1" applyAlignment="1" applyProtection="1">
      <alignment horizontal="left" indent="2"/>
    </xf>
    <xf numFmtId="3" fontId="16" fillId="3" borderId="42" xfId="2" quotePrefix="1" applyNumberFormat="1" applyFont="1" applyFill="1" applyBorder="1" applyAlignment="1" applyProtection="1">
      <alignment horizontal="center"/>
    </xf>
    <xf numFmtId="3" fontId="16" fillId="3" borderId="13" xfId="2" applyNumberFormat="1" applyFont="1" applyFill="1" applyBorder="1" applyAlignment="1" applyProtection="1">
      <alignment horizontal="center"/>
    </xf>
    <xf numFmtId="3" fontId="16" fillId="3" borderId="0" xfId="2" applyNumberFormat="1" applyFont="1" applyFill="1" applyBorder="1" applyAlignment="1" applyProtection="1">
      <alignment horizontal="center"/>
    </xf>
    <xf numFmtId="3" fontId="21" fillId="3" borderId="16" xfId="2" applyNumberFormat="1" applyFont="1" applyFill="1" applyBorder="1" applyProtection="1"/>
    <xf numFmtId="3" fontId="16" fillId="3" borderId="2" xfId="2" quotePrefix="1" applyNumberFormat="1" applyFont="1" applyFill="1" applyBorder="1" applyAlignment="1" applyProtection="1">
      <alignment horizontal="center"/>
    </xf>
    <xf numFmtId="3" fontId="16" fillId="5" borderId="58" xfId="2" applyNumberFormat="1" applyFont="1" applyFill="1" applyBorder="1" applyProtection="1"/>
    <xf numFmtId="3" fontId="16" fillId="5" borderId="59" xfId="2" applyNumberFormat="1" applyFont="1" applyFill="1" applyBorder="1" applyProtection="1"/>
    <xf numFmtId="3" fontId="16" fillId="5" borderId="36" xfId="2" applyNumberFormat="1" applyFont="1" applyFill="1" applyBorder="1" applyProtection="1"/>
    <xf numFmtId="3" fontId="16" fillId="5" borderId="37" xfId="2" applyNumberFormat="1" applyFont="1" applyFill="1" applyBorder="1" applyProtection="1"/>
    <xf numFmtId="3" fontId="19" fillId="3" borderId="0" xfId="2" applyNumberFormat="1" applyFont="1" applyFill="1" applyBorder="1" applyProtection="1">
      <protection locked="0"/>
    </xf>
    <xf numFmtId="3" fontId="16" fillId="2" borderId="38" xfId="2" applyNumberFormat="1" applyFont="1" applyFill="1" applyBorder="1" applyProtection="1">
      <protection locked="0"/>
    </xf>
    <xf numFmtId="3" fontId="16" fillId="2" borderId="39" xfId="2" applyNumberFormat="1" applyFont="1" applyFill="1" applyBorder="1" applyProtection="1">
      <protection locked="0"/>
    </xf>
    <xf numFmtId="3" fontId="16" fillId="2" borderId="40" xfId="2" applyNumberFormat="1" applyFont="1" applyFill="1" applyBorder="1" applyProtection="1">
      <protection locked="0"/>
    </xf>
    <xf numFmtId="3" fontId="16" fillId="3" borderId="8" xfId="2" applyNumberFormat="1" applyFont="1" applyFill="1" applyBorder="1" applyAlignment="1" applyProtection="1">
      <alignment horizontal="center"/>
    </xf>
    <xf numFmtId="3" fontId="16" fillId="3" borderId="15" xfId="2" applyNumberFormat="1" applyFont="1" applyFill="1" applyBorder="1" applyAlignment="1" applyProtection="1">
      <alignment horizontal="center"/>
    </xf>
    <xf numFmtId="3" fontId="16" fillId="3" borderId="11" xfId="2" quotePrefix="1" applyNumberFormat="1" applyFont="1" applyFill="1" applyBorder="1" applyAlignment="1" applyProtection="1">
      <alignment horizontal="center"/>
    </xf>
    <xf numFmtId="3" fontId="16" fillId="3" borderId="43" xfId="2" quotePrefix="1" applyNumberFormat="1" applyFont="1" applyFill="1" applyBorder="1" applyAlignment="1" applyProtection="1">
      <alignment horizontal="center"/>
    </xf>
    <xf numFmtId="3" fontId="16" fillId="3" borderId="60" xfId="2" applyNumberFormat="1" applyFont="1" applyFill="1" applyBorder="1" applyAlignment="1" applyProtection="1">
      <alignment horizontal="center"/>
    </xf>
    <xf numFmtId="3" fontId="16" fillId="3" borderId="11" xfId="2" applyNumberFormat="1" applyFont="1" applyFill="1" applyBorder="1" applyAlignment="1" applyProtection="1">
      <alignment horizontal="center"/>
    </xf>
    <xf numFmtId="3" fontId="19" fillId="3" borderId="61" xfId="2" applyNumberFormat="1" applyFont="1" applyFill="1" applyBorder="1" applyProtection="1"/>
    <xf numFmtId="3" fontId="33" fillId="3" borderId="62" xfId="2" applyNumberFormat="1" applyFont="1" applyFill="1" applyBorder="1" applyAlignment="1" applyProtection="1">
      <alignment horizontal="center"/>
    </xf>
    <xf numFmtId="3" fontId="33" fillId="3" borderId="63" xfId="2" applyNumberFormat="1" applyFont="1" applyFill="1" applyBorder="1" applyAlignment="1" applyProtection="1">
      <alignment horizontal="center"/>
    </xf>
    <xf numFmtId="3" fontId="16" fillId="2" borderId="4" xfId="2" applyNumberFormat="1" applyFont="1" applyFill="1" applyBorder="1" applyProtection="1">
      <protection locked="0"/>
    </xf>
    <xf numFmtId="3" fontId="15" fillId="3" borderId="1" xfId="2" applyNumberFormat="1" applyFont="1" applyFill="1" applyBorder="1" applyAlignment="1" applyProtection="1">
      <alignment horizontal="center"/>
    </xf>
    <xf numFmtId="41" fontId="18" fillId="3" borderId="64" xfId="2" applyFont="1" applyFill="1" applyBorder="1" applyProtection="1"/>
    <xf numFmtId="41" fontId="18" fillId="3" borderId="65" xfId="2" applyFont="1" applyFill="1" applyBorder="1" applyProtection="1"/>
    <xf numFmtId="3" fontId="18" fillId="3" borderId="1" xfId="2" applyNumberFormat="1" applyFont="1" applyFill="1" applyBorder="1" applyAlignment="1" applyProtection="1">
      <alignment horizontal="left"/>
    </xf>
    <xf numFmtId="0" fontId="5" fillId="0" borderId="0" xfId="0" applyFont="1" applyProtection="1">
      <protection locked="0"/>
    </xf>
    <xf numFmtId="3" fontId="18" fillId="2" borderId="64" xfId="2" applyNumberFormat="1" applyFont="1" applyFill="1" applyBorder="1" applyProtection="1">
      <protection locked="0"/>
    </xf>
    <xf numFmtId="3" fontId="18" fillId="4" borderId="66" xfId="2" applyNumberFormat="1" applyFont="1" applyFill="1" applyBorder="1" applyProtection="1">
      <protection locked="0"/>
    </xf>
    <xf numFmtId="3" fontId="18" fillId="3" borderId="64" xfId="2" applyNumberFormat="1" applyFont="1" applyFill="1" applyBorder="1" applyProtection="1"/>
    <xf numFmtId="3" fontId="18" fillId="3" borderId="66" xfId="2" applyNumberFormat="1" applyFont="1" applyFill="1" applyBorder="1" applyProtection="1"/>
    <xf numFmtId="3" fontId="18" fillId="3" borderId="67" xfId="2" applyNumberFormat="1" applyFont="1" applyFill="1" applyBorder="1" applyProtection="1"/>
    <xf numFmtId="3" fontId="18" fillId="3" borderId="65" xfId="2" applyNumberFormat="1" applyFont="1" applyFill="1" applyBorder="1" applyProtection="1"/>
    <xf numFmtId="3" fontId="18" fillId="3" borderId="68" xfId="2" applyNumberFormat="1" applyFont="1" applyFill="1" applyBorder="1" applyProtection="1"/>
    <xf numFmtId="3" fontId="18" fillId="3" borderId="7" xfId="2" applyNumberFormat="1" applyFont="1" applyFill="1" applyBorder="1" applyProtection="1"/>
    <xf numFmtId="41" fontId="15" fillId="3" borderId="69" xfId="2" applyFont="1" applyFill="1" applyBorder="1" applyAlignment="1" applyProtection="1">
      <alignment horizontal="centerContinuous"/>
    </xf>
    <xf numFmtId="41" fontId="15" fillId="3" borderId="70" xfId="2" applyFont="1" applyFill="1" applyBorder="1" applyAlignment="1" applyProtection="1">
      <alignment horizontal="centerContinuous"/>
    </xf>
    <xf numFmtId="41" fontId="18" fillId="2" borderId="0" xfId="2" applyFont="1" applyFill="1" applyAlignment="1" applyProtection="1">
      <alignment horizontal="center"/>
    </xf>
    <xf numFmtId="3" fontId="15" fillId="2" borderId="1" xfId="2" applyNumberFormat="1" applyFont="1" applyFill="1" applyBorder="1" applyAlignment="1" applyProtection="1">
      <alignment horizontal="centerContinuous"/>
    </xf>
    <xf numFmtId="3" fontId="18" fillId="2" borderId="1" xfId="2" applyNumberFormat="1" applyFont="1" applyFill="1" applyBorder="1" applyAlignment="1" applyProtection="1">
      <alignment horizontal="left"/>
    </xf>
    <xf numFmtId="0" fontId="5" fillId="0" borderId="0" xfId="0" applyFont="1"/>
    <xf numFmtId="41" fontId="18" fillId="2" borderId="0" xfId="2" applyFont="1" applyFill="1" applyProtection="1"/>
    <xf numFmtId="41" fontId="18" fillId="3" borderId="71" xfId="2" applyFont="1" applyFill="1" applyBorder="1" applyProtection="1"/>
    <xf numFmtId="41" fontId="18" fillId="3" borderId="72" xfId="2" applyFont="1" applyFill="1" applyBorder="1" applyAlignment="1" applyProtection="1">
      <alignment horizontal="centerContinuous"/>
    </xf>
    <xf numFmtId="41" fontId="18" fillId="3" borderId="62" xfId="2" applyFont="1" applyFill="1" applyBorder="1" applyAlignment="1" applyProtection="1">
      <alignment horizontal="centerContinuous"/>
    </xf>
    <xf numFmtId="165" fontId="18" fillId="3" borderId="73" xfId="1" applyNumberFormat="1" applyFont="1" applyFill="1" applyBorder="1" applyAlignment="1" applyProtection="1">
      <alignment wrapText="1"/>
    </xf>
    <xf numFmtId="41" fontId="18" fillId="3" borderId="64" xfId="2" applyFont="1" applyFill="1" applyBorder="1" applyAlignment="1" applyProtection="1">
      <alignment horizontal="center"/>
    </xf>
    <xf numFmtId="41" fontId="18" fillId="3" borderId="66" xfId="2" applyFont="1" applyFill="1" applyBorder="1" applyAlignment="1" applyProtection="1">
      <alignment horizontal="center"/>
    </xf>
    <xf numFmtId="41" fontId="15" fillId="3" borderId="74" xfId="2" applyFont="1" applyFill="1" applyBorder="1" applyAlignment="1" applyProtection="1">
      <alignment horizontal="centerContinuous"/>
    </xf>
    <xf numFmtId="41" fontId="15" fillId="3" borderId="13" xfId="2" applyFont="1" applyFill="1" applyBorder="1" applyAlignment="1" applyProtection="1">
      <alignment horizontal="centerContinuous"/>
    </xf>
    <xf numFmtId="41" fontId="15" fillId="3" borderId="75" xfId="2" applyFont="1" applyFill="1" applyBorder="1" applyAlignment="1" applyProtection="1">
      <alignment horizontal="centerContinuous"/>
    </xf>
    <xf numFmtId="41" fontId="18" fillId="3" borderId="76" xfId="2" applyFont="1" applyFill="1" applyBorder="1" applyProtection="1"/>
    <xf numFmtId="41" fontId="15" fillId="3" borderId="77" xfId="2" applyFont="1" applyFill="1" applyBorder="1" applyAlignment="1" applyProtection="1">
      <alignment horizontal="centerContinuous"/>
    </xf>
    <xf numFmtId="1" fontId="18" fillId="0" borderId="2" xfId="2" applyNumberFormat="1" applyFont="1" applyFill="1" applyBorder="1" applyAlignment="1" applyProtection="1">
      <alignment horizontal="center"/>
      <protection locked="0"/>
    </xf>
    <xf numFmtId="1" fontId="18" fillId="0" borderId="7" xfId="2" applyNumberFormat="1" applyFont="1" applyFill="1" applyBorder="1" applyAlignment="1" applyProtection="1">
      <alignment horizontal="left"/>
      <protection locked="0"/>
    </xf>
    <xf numFmtId="1" fontId="18" fillId="0" borderId="4" xfId="2" applyNumberFormat="1" applyFont="1" applyFill="1" applyBorder="1" applyProtection="1">
      <protection locked="0"/>
    </xf>
    <xf numFmtId="1" fontId="18" fillId="0" borderId="7" xfId="2" applyNumberFormat="1" applyFont="1" applyFill="1" applyBorder="1" applyProtection="1">
      <protection locked="0"/>
    </xf>
    <xf numFmtId="1" fontId="18" fillId="3" borderId="14" xfId="2" applyNumberFormat="1" applyFont="1" applyFill="1" applyBorder="1" applyProtection="1">
      <protection locked="0"/>
    </xf>
    <xf numFmtId="1" fontId="18" fillId="0" borderId="78" xfId="2" applyNumberFormat="1" applyFont="1" applyFill="1" applyBorder="1" applyProtection="1">
      <protection locked="0"/>
    </xf>
    <xf numFmtId="1" fontId="18" fillId="3" borderId="16" xfId="2" applyNumberFormat="1" applyFont="1" applyFill="1" applyBorder="1" applyProtection="1">
      <protection locked="0"/>
    </xf>
    <xf numFmtId="1" fontId="18" fillId="0" borderId="0" xfId="2" applyNumberFormat="1" applyFont="1" applyFill="1" applyProtection="1">
      <protection locked="0"/>
    </xf>
    <xf numFmtId="3" fontId="18" fillId="0" borderId="4" xfId="2" applyNumberFormat="1" applyFont="1" applyFill="1" applyBorder="1" applyProtection="1">
      <protection locked="0"/>
    </xf>
    <xf numFmtId="3" fontId="18" fillId="0" borderId="0" xfId="2" applyNumberFormat="1" applyFont="1" applyFill="1" applyBorder="1" applyProtection="1">
      <protection locked="0"/>
    </xf>
    <xf numFmtId="3" fontId="18" fillId="0" borderId="7" xfId="2" applyNumberFormat="1" applyFont="1" applyFill="1" applyBorder="1" applyProtection="1">
      <protection locked="0"/>
    </xf>
    <xf numFmtId="3" fontId="18" fillId="3" borderId="14" xfId="2" applyNumberFormat="1" applyFont="1" applyFill="1" applyBorder="1" applyProtection="1">
      <protection locked="0"/>
    </xf>
    <xf numFmtId="3" fontId="18" fillId="3" borderId="15" xfId="2" applyNumberFormat="1" applyFont="1" applyFill="1" applyBorder="1" applyProtection="1">
      <protection locked="0"/>
    </xf>
    <xf numFmtId="3" fontId="18" fillId="0" borderId="78" xfId="2" applyNumberFormat="1" applyFont="1" applyFill="1" applyBorder="1" applyProtection="1">
      <protection locked="0"/>
    </xf>
    <xf numFmtId="3" fontId="18" fillId="3" borderId="16" xfId="2" applyNumberFormat="1" applyFont="1" applyFill="1" applyBorder="1" applyProtection="1">
      <protection locked="0"/>
    </xf>
    <xf numFmtId="3" fontId="18" fillId="3" borderId="11" xfId="2" applyNumberFormat="1" applyFont="1" applyFill="1" applyBorder="1" applyProtection="1">
      <protection locked="0"/>
    </xf>
    <xf numFmtId="1" fontId="15" fillId="0" borderId="0" xfId="2" applyNumberFormat="1" applyFont="1" applyFill="1" applyBorder="1" applyAlignment="1" applyProtection="1">
      <alignment horizontal="centerContinuous"/>
      <protection locked="0"/>
    </xf>
    <xf numFmtId="1" fontId="15" fillId="0" borderId="0" xfId="2" applyNumberFormat="1" applyFont="1" applyFill="1" applyBorder="1" applyAlignment="1" applyProtection="1">
      <alignment horizontal="center"/>
      <protection locked="0"/>
    </xf>
    <xf numFmtId="0" fontId="0" fillId="0" borderId="6" xfId="0" applyBorder="1" applyAlignment="1" applyProtection="1">
      <alignment horizontal="left"/>
      <protection locked="0"/>
    </xf>
    <xf numFmtId="1" fontId="18" fillId="0" borderId="0" xfId="2" applyNumberFormat="1" applyFont="1" applyFill="1" applyBorder="1" applyAlignment="1" applyProtection="1">
      <alignment horizontal="center"/>
      <protection locked="0"/>
    </xf>
    <xf numFmtId="1" fontId="18" fillId="0" borderId="3" xfId="2" applyNumberFormat="1" applyFont="1" applyFill="1" applyBorder="1" applyAlignment="1" applyProtection="1">
      <alignment horizontal="center"/>
      <protection locked="0"/>
    </xf>
    <xf numFmtId="1" fontId="18" fillId="0" borderId="7" xfId="2" applyNumberFormat="1" applyFont="1" applyFill="1" applyBorder="1" applyAlignment="1" applyProtection="1">
      <alignment horizontal="center"/>
      <protection locked="0"/>
    </xf>
    <xf numFmtId="1" fontId="18" fillId="0" borderId="0" xfId="2" applyNumberFormat="1" applyFont="1" applyFill="1" applyAlignment="1" applyProtection="1">
      <alignment horizontal="center"/>
      <protection locked="0"/>
    </xf>
    <xf numFmtId="1" fontId="18" fillId="0" borderId="8" xfId="2" applyNumberFormat="1" applyFont="1" applyFill="1" applyBorder="1" applyAlignment="1" applyProtection="1">
      <alignment horizontal="center" wrapText="1"/>
      <protection locked="0"/>
    </xf>
    <xf numFmtId="1" fontId="18" fillId="0" borderId="0" xfId="2" applyNumberFormat="1" applyFont="1" applyFill="1" applyAlignment="1" applyProtection="1">
      <alignment horizontal="center" wrapText="1"/>
      <protection locked="0"/>
    </xf>
    <xf numFmtId="1" fontId="18" fillId="0" borderId="5" xfId="2" applyNumberFormat="1" applyFont="1" applyFill="1" applyBorder="1" applyAlignment="1" applyProtection="1">
      <alignment horizontal="center" wrapText="1"/>
      <protection locked="0"/>
    </xf>
    <xf numFmtId="1" fontId="18" fillId="0" borderId="15" xfId="2" applyNumberFormat="1" applyFont="1" applyFill="1" applyBorder="1" applyProtection="1">
      <protection locked="0"/>
    </xf>
    <xf numFmtId="1" fontId="18" fillId="0" borderId="8" xfId="2" applyNumberFormat="1" applyFont="1" applyFill="1" applyBorder="1" applyProtection="1">
      <protection locked="0"/>
    </xf>
    <xf numFmtId="1" fontId="18" fillId="0" borderId="12" xfId="2" applyNumberFormat="1" applyFont="1" applyFill="1" applyBorder="1" applyProtection="1">
      <protection locked="0"/>
    </xf>
    <xf numFmtId="1" fontId="18" fillId="0" borderId="11" xfId="2" applyNumberFormat="1" applyFont="1" applyFill="1" applyBorder="1" applyProtection="1">
      <protection locked="0"/>
    </xf>
    <xf numFmtId="1" fontId="15" fillId="0" borderId="15" xfId="2" applyNumberFormat="1" applyFont="1" applyFill="1" applyBorder="1" applyProtection="1">
      <protection locked="0"/>
    </xf>
    <xf numFmtId="1" fontId="18" fillId="0" borderId="3" xfId="2" applyNumberFormat="1" applyFont="1" applyFill="1" applyBorder="1" applyProtection="1">
      <protection locked="0"/>
    </xf>
    <xf numFmtId="1" fontId="18" fillId="0" borderId="5" xfId="2" applyNumberFormat="1" applyFont="1" applyFill="1" applyBorder="1" applyProtection="1">
      <protection locked="0"/>
    </xf>
    <xf numFmtId="1" fontId="18" fillId="0" borderId="79" xfId="2" applyNumberFormat="1" applyFont="1" applyFill="1" applyBorder="1" applyProtection="1">
      <protection locked="0"/>
    </xf>
    <xf numFmtId="3" fontId="49" fillId="2" borderId="0" xfId="2" applyNumberFormat="1" applyFont="1" applyFill="1" applyBorder="1" applyAlignment="1" applyProtection="1">
      <alignment horizontal="center"/>
    </xf>
    <xf numFmtId="3" fontId="16" fillId="4" borderId="2" xfId="2" applyNumberFormat="1" applyFont="1" applyFill="1" applyBorder="1" applyProtection="1">
      <protection locked="0"/>
    </xf>
    <xf numFmtId="3" fontId="16" fillId="4" borderId="16" xfId="2" applyNumberFormat="1" applyFont="1" applyFill="1" applyBorder="1" applyProtection="1">
      <protection locked="0"/>
    </xf>
    <xf numFmtId="0" fontId="5" fillId="3" borderId="1" xfId="0" applyFont="1" applyFill="1" applyBorder="1"/>
    <xf numFmtId="0" fontId="17" fillId="3" borderId="2" xfId="2" applyNumberFormat="1" applyFont="1" applyFill="1" applyBorder="1" applyAlignment="1" applyProtection="1">
      <alignment horizontal="left"/>
    </xf>
    <xf numFmtId="1" fontId="17" fillId="3" borderId="2" xfId="2" applyNumberFormat="1" applyFont="1" applyFill="1" applyBorder="1" applyAlignment="1" applyProtection="1">
      <alignment horizontal="left"/>
    </xf>
    <xf numFmtId="1" fontId="15" fillId="0" borderId="13" xfId="2" applyNumberFormat="1" applyFont="1" applyFill="1" applyBorder="1" applyAlignment="1" applyProtection="1">
      <alignment horizontal="center"/>
      <protection locked="0"/>
    </xf>
    <xf numFmtId="1" fontId="18" fillId="0" borderId="0" xfId="1" applyNumberFormat="1" applyFont="1" applyFill="1" applyBorder="1" applyAlignment="1" applyProtection="1">
      <alignment horizontal="center"/>
      <protection locked="0"/>
    </xf>
    <xf numFmtId="1" fontId="14" fillId="0" borderId="14" xfId="2" applyNumberFormat="1" applyFont="1" applyFill="1" applyBorder="1" applyProtection="1">
      <protection locked="0"/>
    </xf>
    <xf numFmtId="1" fontId="18" fillId="0" borderId="2" xfId="2" applyNumberFormat="1" applyFont="1" applyFill="1" applyBorder="1" applyProtection="1">
      <protection locked="0"/>
    </xf>
    <xf numFmtId="1" fontId="18" fillId="0" borderId="16" xfId="2" applyNumberFormat="1" applyFont="1" applyFill="1" applyBorder="1" applyProtection="1">
      <protection locked="0"/>
    </xf>
    <xf numFmtId="1" fontId="15" fillId="0" borderId="0" xfId="2" applyNumberFormat="1" applyFont="1" applyFill="1" applyBorder="1" applyProtection="1">
      <protection locked="0"/>
    </xf>
    <xf numFmtId="1" fontId="18" fillId="0" borderId="80" xfId="2" applyNumberFormat="1" applyFont="1" applyFill="1" applyBorder="1" applyProtection="1">
      <protection locked="0"/>
    </xf>
    <xf numFmtId="1" fontId="15" fillId="0" borderId="14" xfId="2" applyNumberFormat="1" applyFont="1" applyFill="1" applyBorder="1" applyProtection="1">
      <protection locked="0"/>
    </xf>
    <xf numFmtId="41" fontId="15" fillId="0" borderId="0" xfId="2" applyFont="1" applyFill="1" applyBorder="1" applyAlignment="1" applyProtection="1">
      <alignment horizontal="center"/>
      <protection locked="0"/>
    </xf>
    <xf numFmtId="41" fontId="18" fillId="0" borderId="0" xfId="2" applyFont="1" applyFill="1" applyBorder="1" applyAlignment="1" applyProtection="1">
      <alignment horizontal="center"/>
      <protection locked="0"/>
    </xf>
    <xf numFmtId="16" fontId="18" fillId="0" borderId="0" xfId="2" applyNumberFormat="1" applyFont="1" applyFill="1" applyBorder="1" applyAlignment="1" applyProtection="1">
      <alignment horizontal="left"/>
      <protection locked="0"/>
    </xf>
    <xf numFmtId="16" fontId="15" fillId="0" borderId="0" xfId="2" applyNumberFormat="1" applyFont="1" applyFill="1" applyBorder="1" applyAlignment="1" applyProtection="1">
      <alignment horizontal="left"/>
      <protection locked="0"/>
    </xf>
    <xf numFmtId="41" fontId="15" fillId="0" borderId="0" xfId="2" applyFont="1" applyFill="1" applyBorder="1" applyAlignment="1" applyProtection="1">
      <alignment horizontal="centerContinuous"/>
      <protection locked="0"/>
    </xf>
    <xf numFmtId="41" fontId="18" fillId="0" borderId="0" xfId="2" applyFont="1" applyFill="1" applyBorder="1" applyAlignment="1" applyProtection="1">
      <protection locked="0"/>
    </xf>
    <xf numFmtId="3" fontId="18" fillId="0" borderId="7" xfId="2" applyNumberFormat="1" applyFont="1" applyFill="1" applyBorder="1" applyAlignment="1" applyProtection="1">
      <protection locked="0"/>
    </xf>
    <xf numFmtId="3" fontId="18" fillId="2" borderId="7" xfId="2" applyNumberFormat="1" applyFont="1" applyFill="1" applyBorder="1" applyAlignment="1" applyProtection="1">
      <protection locked="0"/>
    </xf>
    <xf numFmtId="0" fontId="18" fillId="0" borderId="5" xfId="2" applyNumberFormat="1" applyFont="1" applyFill="1" applyBorder="1" applyAlignment="1" applyProtection="1">
      <alignment horizontal="center"/>
      <protection locked="0"/>
    </xf>
    <xf numFmtId="41" fontId="15" fillId="0" borderId="1" xfId="2" applyFont="1" applyFill="1" applyBorder="1" applyAlignment="1" applyProtection="1">
      <alignment horizontal="centerContinuous"/>
      <protection locked="0"/>
    </xf>
    <xf numFmtId="41" fontId="15" fillId="0" borderId="1" xfId="2" applyFont="1" applyFill="1" applyBorder="1" applyAlignment="1" applyProtection="1">
      <alignment horizontal="center"/>
      <protection locked="0"/>
    </xf>
    <xf numFmtId="0" fontId="5" fillId="0" borderId="0" xfId="0" applyFont="1" applyAlignment="1" applyProtection="1">
      <alignment horizontal="right"/>
      <protection locked="0"/>
    </xf>
    <xf numFmtId="14" fontId="52" fillId="0" borderId="6" xfId="0" applyNumberFormat="1" applyFont="1" applyBorder="1" applyAlignment="1" applyProtection="1">
      <alignment horizontal="left"/>
      <protection locked="0"/>
    </xf>
    <xf numFmtId="14" fontId="6" fillId="0" borderId="6" xfId="0" applyNumberFormat="1" applyFont="1" applyBorder="1" applyAlignment="1" applyProtection="1">
      <alignment horizontal="left"/>
      <protection locked="0"/>
    </xf>
    <xf numFmtId="14" fontId="6" fillId="0" borderId="0" xfId="0" applyNumberFormat="1" applyFont="1" applyAlignment="1" applyProtection="1">
      <alignment horizontal="left"/>
      <protection locked="0"/>
    </xf>
    <xf numFmtId="1" fontId="46" fillId="0" borderId="0" xfId="2" applyNumberFormat="1" applyFont="1" applyFill="1" applyBorder="1" applyAlignment="1" applyProtection="1">
      <alignment horizontal="right" vertical="top"/>
    </xf>
    <xf numFmtId="0" fontId="12" fillId="3" borderId="0" xfId="0" applyFont="1" applyFill="1" applyAlignment="1" applyProtection="1">
      <alignment horizontal="center"/>
      <protection locked="0"/>
    </xf>
    <xf numFmtId="0" fontId="11" fillId="0" borderId="0" xfId="0" applyFont="1" applyProtection="1">
      <protection locked="0"/>
    </xf>
    <xf numFmtId="0" fontId="8" fillId="0" borderId="0" xfId="0" applyFont="1" applyProtection="1">
      <protection locked="0"/>
    </xf>
    <xf numFmtId="1" fontId="15" fillId="2" borderId="0" xfId="2" applyNumberFormat="1" applyFont="1" applyFill="1" applyBorder="1" applyAlignment="1" applyProtection="1">
      <alignment horizontal="left"/>
      <protection locked="0"/>
    </xf>
    <xf numFmtId="3" fontId="19" fillId="3" borderId="4" xfId="2" applyNumberFormat="1" applyFont="1" applyFill="1" applyBorder="1" applyProtection="1">
      <protection locked="0"/>
    </xf>
    <xf numFmtId="3" fontId="19" fillId="3" borderId="3" xfId="2" applyNumberFormat="1" applyFont="1" applyFill="1" applyBorder="1" applyProtection="1">
      <protection locked="0"/>
    </xf>
    <xf numFmtId="3" fontId="14" fillId="3" borderId="68" xfId="1" applyNumberFormat="1" applyFont="1" applyFill="1" applyBorder="1" applyAlignment="1" applyProtection="1">
      <alignment horizontal="center"/>
    </xf>
    <xf numFmtId="3" fontId="18" fillId="3" borderId="76" xfId="2" applyNumberFormat="1" applyFont="1" applyFill="1" applyBorder="1" applyProtection="1"/>
    <xf numFmtId="3" fontId="18" fillId="3" borderId="81" xfId="2" applyNumberFormat="1" applyFont="1" applyFill="1" applyBorder="1" applyProtection="1"/>
    <xf numFmtId="3" fontId="15" fillId="3" borderId="7" xfId="2" applyNumberFormat="1" applyFont="1" applyFill="1" applyBorder="1" applyAlignment="1" applyProtection="1"/>
    <xf numFmtId="16" fontId="18" fillId="3" borderId="17" xfId="1" applyNumberFormat="1" applyFont="1" applyFill="1" applyBorder="1" applyAlignment="1" applyProtection="1">
      <alignment horizontal="center"/>
    </xf>
    <xf numFmtId="41" fontId="18" fillId="3" borderId="15" xfId="2" applyFont="1" applyFill="1" applyBorder="1" applyAlignment="1" applyProtection="1">
      <alignment horizontal="center"/>
    </xf>
    <xf numFmtId="41" fontId="18" fillId="3" borderId="8" xfId="2" applyFont="1" applyFill="1" applyBorder="1" applyAlignment="1" applyProtection="1">
      <alignment horizontal="center"/>
    </xf>
    <xf numFmtId="41" fontId="15" fillId="3" borderId="7" xfId="2" applyFont="1" applyFill="1" applyBorder="1" applyAlignment="1" applyProtection="1">
      <alignment horizontal="center"/>
    </xf>
    <xf numFmtId="16" fontId="15" fillId="3" borderId="17" xfId="1" applyNumberFormat="1" applyFont="1" applyFill="1" applyBorder="1" applyAlignment="1" applyProtection="1">
      <alignment horizontal="center"/>
    </xf>
    <xf numFmtId="16" fontId="18" fillId="3" borderId="9" xfId="1" applyNumberFormat="1" applyFont="1" applyFill="1" applyBorder="1" applyAlignment="1" applyProtection="1">
      <alignment horizontal="center"/>
    </xf>
    <xf numFmtId="41" fontId="18" fillId="3" borderId="3" xfId="2" applyFont="1" applyFill="1" applyBorder="1" applyAlignment="1" applyProtection="1">
      <alignment horizontal="center"/>
    </xf>
    <xf numFmtId="41" fontId="18" fillId="3" borderId="5" xfId="2" applyFont="1" applyFill="1" applyBorder="1" applyAlignment="1" applyProtection="1">
      <alignment horizontal="center"/>
    </xf>
    <xf numFmtId="41" fontId="17" fillId="3" borderId="5" xfId="2" applyFont="1" applyFill="1" applyBorder="1" applyAlignment="1" applyProtection="1">
      <alignment horizontal="center"/>
    </xf>
    <xf numFmtId="16" fontId="15" fillId="3" borderId="9" xfId="1" applyNumberFormat="1" applyFont="1" applyFill="1" applyBorder="1" applyAlignment="1" applyProtection="1">
      <alignment horizontal="center"/>
    </xf>
    <xf numFmtId="16" fontId="18" fillId="3" borderId="10" xfId="2" applyNumberFormat="1" applyFont="1" applyFill="1" applyBorder="1" applyAlignment="1" applyProtection="1">
      <alignment horizontal="center"/>
    </xf>
    <xf numFmtId="41" fontId="18" fillId="3" borderId="12" xfId="2" applyFont="1" applyFill="1" applyBorder="1" applyAlignment="1" applyProtection="1">
      <alignment horizontal="center"/>
    </xf>
    <xf numFmtId="41" fontId="18" fillId="3" borderId="4" xfId="2" applyFont="1" applyFill="1" applyBorder="1" applyAlignment="1" applyProtection="1">
      <alignment horizontal="center"/>
    </xf>
    <xf numFmtId="41" fontId="17" fillId="3" borderId="4" xfId="2" applyFont="1" applyFill="1" applyBorder="1" applyAlignment="1" applyProtection="1">
      <alignment horizontal="center"/>
    </xf>
    <xf numFmtId="16" fontId="15" fillId="3" borderId="10" xfId="2" applyNumberFormat="1" applyFont="1" applyFill="1" applyBorder="1" applyAlignment="1" applyProtection="1">
      <alignment horizontal="center"/>
    </xf>
    <xf numFmtId="41" fontId="15" fillId="3" borderId="7" xfId="2" applyFont="1" applyFill="1" applyBorder="1" applyAlignment="1" applyProtection="1"/>
    <xf numFmtId="41" fontId="18" fillId="3" borderId="7" xfId="2" applyFont="1" applyFill="1" applyBorder="1" applyAlignment="1" applyProtection="1"/>
    <xf numFmtId="16" fontId="18" fillId="3" borderId="18" xfId="2" applyNumberFormat="1" applyFont="1" applyFill="1" applyBorder="1" applyAlignment="1" applyProtection="1">
      <alignment horizontal="left"/>
    </xf>
    <xf numFmtId="16" fontId="14" fillId="3" borderId="18" xfId="2" quotePrefix="1" applyNumberFormat="1" applyFont="1" applyFill="1" applyBorder="1" applyAlignment="1" applyProtection="1">
      <alignment horizontal="left"/>
    </xf>
    <xf numFmtId="41" fontId="14" fillId="3" borderId="11" xfId="2" applyFont="1" applyFill="1" applyBorder="1" applyAlignment="1" applyProtection="1"/>
    <xf numFmtId="16" fontId="24" fillId="3" borderId="18" xfId="2" applyNumberFormat="1" applyFont="1" applyFill="1" applyBorder="1" applyAlignment="1" applyProtection="1">
      <alignment horizontal="left" vertical="top"/>
    </xf>
    <xf numFmtId="0" fontId="33" fillId="2" borderId="0" xfId="2" applyNumberFormat="1" applyFont="1" applyFill="1" applyBorder="1" applyProtection="1"/>
    <xf numFmtId="3" fontId="16" fillId="3" borderId="60" xfId="2" applyNumberFormat="1" applyFont="1" applyFill="1" applyBorder="1" applyProtection="1"/>
    <xf numFmtId="3" fontId="33" fillId="3" borderId="72" xfId="2" applyNumberFormat="1" applyFont="1" applyFill="1" applyBorder="1" applyAlignment="1" applyProtection="1">
      <alignment horizontal="center"/>
    </xf>
    <xf numFmtId="3" fontId="33" fillId="3" borderId="62" xfId="2" applyNumberFormat="1" applyFont="1" applyFill="1" applyBorder="1" applyProtection="1"/>
    <xf numFmtId="3" fontId="16" fillId="3" borderId="46" xfId="2" applyNumberFormat="1" applyFont="1" applyFill="1" applyBorder="1" applyProtection="1"/>
    <xf numFmtId="3" fontId="16" fillId="3" borderId="58" xfId="2" applyNumberFormat="1" applyFont="1" applyFill="1" applyBorder="1" applyProtection="1"/>
    <xf numFmtId="3" fontId="16" fillId="3" borderId="47" xfId="2" applyNumberFormat="1" applyFont="1" applyFill="1" applyBorder="1" applyProtection="1"/>
    <xf numFmtId="3" fontId="16" fillId="3" borderId="59" xfId="2" applyNumberFormat="1" applyFont="1" applyFill="1" applyBorder="1" applyProtection="1"/>
    <xf numFmtId="3" fontId="16" fillId="3" borderId="82" xfId="2" applyNumberFormat="1" applyFont="1" applyFill="1" applyBorder="1" applyProtection="1"/>
    <xf numFmtId="3" fontId="16" fillId="3" borderId="83" xfId="2" applyNumberFormat="1" applyFont="1" applyFill="1" applyBorder="1" applyProtection="1"/>
    <xf numFmtId="3" fontId="16" fillId="3" borderId="84" xfId="2" applyNumberFormat="1" applyFont="1" applyFill="1" applyBorder="1" applyProtection="1"/>
    <xf numFmtId="3" fontId="19" fillId="5" borderId="37" xfId="2" applyNumberFormat="1" applyFont="1" applyFill="1" applyBorder="1" applyProtection="1"/>
    <xf numFmtId="3" fontId="19" fillId="3" borderId="47" xfId="2" applyNumberFormat="1" applyFont="1" applyFill="1" applyBorder="1" applyProtection="1"/>
    <xf numFmtId="3" fontId="19" fillId="3" borderId="59" xfId="2" applyNumberFormat="1" applyFont="1" applyFill="1" applyBorder="1" applyProtection="1"/>
    <xf numFmtId="41" fontId="18" fillId="2" borderId="0" xfId="2" applyFont="1" applyFill="1" applyAlignment="1" applyProtection="1">
      <alignment horizontal="center"/>
      <protection locked="0"/>
    </xf>
    <xf numFmtId="3" fontId="18" fillId="2" borderId="0" xfId="2" applyNumberFormat="1" applyFont="1" applyFill="1" applyBorder="1" applyAlignment="1" applyProtection="1">
      <alignment horizontal="left"/>
      <protection locked="0"/>
    </xf>
    <xf numFmtId="41" fontId="18" fillId="2" borderId="0" xfId="2" applyFont="1" applyFill="1" applyAlignment="1" applyProtection="1">
      <alignment horizontal="left"/>
      <protection locked="0"/>
    </xf>
    <xf numFmtId="165" fontId="18" fillId="2" borderId="13" xfId="1" applyNumberFormat="1" applyFont="1" applyFill="1" applyBorder="1" applyProtection="1">
      <protection locked="0"/>
    </xf>
    <xf numFmtId="41" fontId="18" fillId="2" borderId="13" xfId="2" applyFont="1" applyFill="1" applyBorder="1" applyProtection="1">
      <protection locked="0"/>
    </xf>
    <xf numFmtId="0" fontId="51" fillId="2" borderId="0" xfId="6" applyFont="1" applyFill="1" applyProtection="1">
      <protection locked="0"/>
    </xf>
    <xf numFmtId="0" fontId="48" fillId="2" borderId="0" xfId="6" applyFont="1" applyFill="1" applyProtection="1">
      <protection locked="0"/>
    </xf>
    <xf numFmtId="0" fontId="51" fillId="2" borderId="0" xfId="6" applyFont="1" applyFill="1" applyAlignment="1" applyProtection="1">
      <alignment horizontal="center"/>
      <protection locked="0"/>
    </xf>
    <xf numFmtId="0" fontId="48" fillId="0" borderId="0" xfId="6" applyFont="1" applyProtection="1">
      <protection locked="0"/>
    </xf>
    <xf numFmtId="49" fontId="27" fillId="2" borderId="0" xfId="4" quotePrefix="1" applyNumberFormat="1" applyFont="1" applyFill="1" applyBorder="1" applyAlignment="1" applyProtection="1">
      <alignment horizontal="left"/>
    </xf>
    <xf numFmtId="3" fontId="58" fillId="2" borderId="0" xfId="2" applyNumberFormat="1" applyFont="1" applyFill="1" applyBorder="1" applyAlignment="1" applyProtection="1">
      <alignment horizontal="left"/>
    </xf>
    <xf numFmtId="1" fontId="46" fillId="0" borderId="0" xfId="2" quotePrefix="1" applyNumberFormat="1" applyFont="1" applyFill="1" applyBorder="1" applyAlignment="1" applyProtection="1">
      <alignment horizontal="left"/>
      <protection locked="0"/>
    </xf>
    <xf numFmtId="1" fontId="21" fillId="2" borderId="0" xfId="1" applyNumberFormat="1" applyFont="1" applyFill="1" applyBorder="1" applyAlignment="1" applyProtection="1">
      <alignment horizontal="left"/>
      <protection locked="0"/>
    </xf>
    <xf numFmtId="1" fontId="18" fillId="3" borderId="10" xfId="2" applyNumberFormat="1" applyFont="1" applyFill="1" applyBorder="1" applyAlignment="1" applyProtection="1">
      <alignment horizontal="left" indent="5"/>
    </xf>
    <xf numFmtId="1" fontId="18" fillId="2" borderId="17" xfId="2" applyNumberFormat="1" applyFont="1" applyFill="1" applyBorder="1" applyProtection="1"/>
    <xf numFmtId="1" fontId="18" fillId="2" borderId="14" xfId="2" applyNumberFormat="1" applyFont="1" applyFill="1" applyBorder="1" applyAlignment="1" applyProtection="1">
      <alignment horizontal="center"/>
    </xf>
    <xf numFmtId="1" fontId="18" fillId="2" borderId="9" xfId="2" applyNumberFormat="1" applyFont="1" applyFill="1" applyBorder="1" applyProtection="1"/>
    <xf numFmtId="3" fontId="18" fillId="2" borderId="0" xfId="2" applyNumberFormat="1" applyFont="1" applyFill="1" applyBorder="1" applyProtection="1"/>
    <xf numFmtId="1" fontId="18" fillId="2" borderId="15" xfId="2" applyNumberFormat="1" applyFont="1" applyFill="1" applyBorder="1" applyAlignment="1" applyProtection="1">
      <alignment horizontal="center"/>
    </xf>
    <xf numFmtId="1" fontId="15" fillId="2" borderId="10" xfId="2" applyNumberFormat="1" applyFont="1" applyFill="1" applyBorder="1" applyProtection="1"/>
    <xf numFmtId="3" fontId="15" fillId="2" borderId="2" xfId="2" applyNumberFormat="1" applyFont="1" applyFill="1" applyBorder="1" applyProtection="1"/>
    <xf numFmtId="3" fontId="60" fillId="2" borderId="0" xfId="2" quotePrefix="1" applyNumberFormat="1" applyFont="1" applyFill="1" applyBorder="1" applyAlignment="1" applyProtection="1">
      <alignment horizontal="centerContinuous"/>
    </xf>
    <xf numFmtId="1" fontId="18" fillId="3" borderId="10" xfId="2" applyNumberFormat="1" applyFont="1" applyFill="1" applyBorder="1" applyAlignment="1" applyProtection="1">
      <alignment horizontal="left" wrapText="1" indent="2"/>
    </xf>
    <xf numFmtId="1" fontId="24" fillId="3" borderId="9" xfId="2" applyNumberFormat="1" applyFont="1" applyFill="1" applyBorder="1" applyAlignment="1" applyProtection="1">
      <alignment horizontal="left"/>
    </xf>
    <xf numFmtId="3" fontId="16" fillId="3" borderId="0" xfId="2" applyNumberFormat="1" applyFont="1" applyFill="1" applyBorder="1" applyProtection="1">
      <protection locked="0"/>
    </xf>
    <xf numFmtId="1" fontId="15" fillId="3" borderId="85" xfId="2" applyNumberFormat="1" applyFont="1" applyFill="1" applyBorder="1" applyAlignment="1" applyProtection="1">
      <alignment horizontal="left" wrapText="1"/>
    </xf>
    <xf numFmtId="1" fontId="19" fillId="3" borderId="78" xfId="2" quotePrefix="1" applyNumberFormat="1" applyFont="1" applyFill="1" applyBorder="1" applyAlignment="1" applyProtection="1">
      <alignment horizontal="center"/>
    </xf>
    <xf numFmtId="3" fontId="19" fillId="3" borderId="79" xfId="2" applyNumberFormat="1" applyFont="1" applyFill="1" applyBorder="1" applyProtection="1"/>
    <xf numFmtId="3" fontId="19" fillId="3" borderId="78" xfId="2" applyNumberFormat="1" applyFont="1" applyFill="1" applyBorder="1" applyProtection="1"/>
    <xf numFmtId="1" fontId="14" fillId="3" borderId="20" xfId="2" applyNumberFormat="1" applyFont="1" applyFill="1" applyBorder="1" applyAlignment="1" applyProtection="1">
      <alignment wrapText="1"/>
    </xf>
    <xf numFmtId="1" fontId="20" fillId="3" borderId="86" xfId="2" quotePrefix="1" applyNumberFormat="1" applyFont="1" applyFill="1" applyBorder="1" applyAlignment="1" applyProtection="1">
      <alignment horizontal="center"/>
    </xf>
    <xf numFmtId="3" fontId="20" fillId="3" borderId="24" xfId="2" applyNumberFormat="1" applyFont="1" applyFill="1" applyBorder="1" applyProtection="1"/>
    <xf numFmtId="3" fontId="20" fillId="3" borderId="86" xfId="2" applyNumberFormat="1" applyFont="1" applyFill="1" applyBorder="1" applyProtection="1"/>
    <xf numFmtId="3" fontId="15" fillId="2" borderId="3" xfId="2" applyNumberFormat="1" applyFont="1" applyFill="1" applyBorder="1" applyProtection="1"/>
    <xf numFmtId="3" fontId="15" fillId="2" borderId="12" xfId="2" applyNumberFormat="1" applyFont="1" applyFill="1" applyBorder="1" applyProtection="1"/>
    <xf numFmtId="1" fontId="19" fillId="3" borderId="79" xfId="2" applyNumberFormat="1" applyFont="1" applyFill="1" applyBorder="1" applyProtection="1"/>
    <xf numFmtId="1" fontId="36" fillId="0" borderId="0" xfId="2" applyNumberFormat="1" applyFont="1" applyFill="1" applyBorder="1" applyAlignment="1" applyProtection="1">
      <alignment horizontal="right" vertical="top"/>
    </xf>
    <xf numFmtId="0" fontId="15" fillId="2" borderId="0" xfId="2" applyNumberFormat="1" applyFont="1" applyFill="1" applyBorder="1" applyAlignment="1" applyProtection="1">
      <alignment horizontal="centerContinuous"/>
    </xf>
    <xf numFmtId="0" fontId="17" fillId="2" borderId="0" xfId="2" applyNumberFormat="1" applyFont="1" applyFill="1" applyBorder="1" applyAlignment="1" applyProtection="1">
      <alignment horizontal="left"/>
    </xf>
    <xf numFmtId="0" fontId="16" fillId="2" borderId="0" xfId="2" applyNumberFormat="1" applyFont="1" applyFill="1" applyBorder="1" applyAlignment="1" applyProtection="1">
      <alignment horizontal="left"/>
    </xf>
    <xf numFmtId="3" fontId="60" fillId="2" borderId="0" xfId="2" quotePrefix="1" applyNumberFormat="1" applyFont="1" applyFill="1" applyBorder="1" applyAlignment="1" applyProtection="1">
      <alignment horizontal="centerContinuous" vertical="top"/>
    </xf>
    <xf numFmtId="41" fontId="46" fillId="0" borderId="0" xfId="2" applyFont="1" applyFill="1" applyBorder="1" applyAlignment="1" applyProtection="1">
      <alignment horizontal="left"/>
    </xf>
    <xf numFmtId="0" fontId="28" fillId="0" borderId="5" xfId="2" applyNumberFormat="1" applyFont="1" applyFill="1" applyBorder="1" applyAlignment="1" applyProtection="1"/>
    <xf numFmtId="0" fontId="18" fillId="0" borderId="3" xfId="2" applyNumberFormat="1" applyFont="1" applyFill="1" applyBorder="1" applyAlignment="1" applyProtection="1"/>
    <xf numFmtId="0" fontId="28" fillId="0" borderId="9" xfId="2" applyNumberFormat="1" applyFont="1" applyFill="1" applyBorder="1" applyAlignment="1" applyProtection="1"/>
    <xf numFmtId="41" fontId="18" fillId="0" borderId="0" xfId="2" applyFont="1" applyFill="1" applyBorder="1" applyAlignment="1" applyProtection="1"/>
    <xf numFmtId="41" fontId="15" fillId="3" borderId="7" xfId="2" applyFont="1" applyFill="1" applyBorder="1" applyAlignment="1" applyProtection="1">
      <protection locked="0"/>
    </xf>
    <xf numFmtId="0" fontId="14" fillId="3" borderId="11" xfId="2" applyNumberFormat="1" applyFont="1" applyFill="1" applyBorder="1" applyAlignment="1" applyProtection="1"/>
    <xf numFmtId="0" fontId="18" fillId="3" borderId="11" xfId="2" applyNumberFormat="1" applyFont="1" applyFill="1" applyBorder="1" applyAlignment="1" applyProtection="1">
      <alignment horizontal="left" indent="2"/>
    </xf>
    <xf numFmtId="16" fontId="21" fillId="3" borderId="18" xfId="2" applyNumberFormat="1" applyFont="1" applyFill="1" applyBorder="1" applyAlignment="1" applyProtection="1">
      <alignment horizontal="left" vertical="top" wrapText="1"/>
    </xf>
    <xf numFmtId="0" fontId="21" fillId="3" borderId="11" xfId="2" applyNumberFormat="1" applyFont="1" applyFill="1" applyBorder="1" applyAlignment="1" applyProtection="1">
      <alignment wrapText="1"/>
    </xf>
    <xf numFmtId="0" fontId="24" fillId="3" borderId="16" xfId="2" applyNumberFormat="1" applyFont="1" applyFill="1" applyBorder="1" applyAlignment="1" applyProtection="1">
      <alignment vertical="top"/>
      <protection locked="0"/>
    </xf>
    <xf numFmtId="0" fontId="24" fillId="3" borderId="11" xfId="2" applyNumberFormat="1" applyFont="1" applyFill="1" applyBorder="1" applyAlignment="1" applyProtection="1">
      <alignment wrapText="1"/>
      <protection locked="0"/>
    </xf>
    <xf numFmtId="16" fontId="24" fillId="3" borderId="11" xfId="2" applyNumberFormat="1" applyFont="1" applyFill="1" applyBorder="1" applyAlignment="1" applyProtection="1">
      <alignment horizontal="left" vertical="top"/>
    </xf>
    <xf numFmtId="16" fontId="21" fillId="3" borderId="18" xfId="2" applyNumberFormat="1" applyFont="1" applyFill="1" applyBorder="1" applyAlignment="1" applyProtection="1">
      <alignment horizontal="left" vertical="top"/>
    </xf>
    <xf numFmtId="1" fontId="21" fillId="3" borderId="11" xfId="2" applyNumberFormat="1" applyFont="1" applyFill="1" applyBorder="1" applyAlignment="1" applyProtection="1">
      <alignment wrapText="1"/>
    </xf>
    <xf numFmtId="0" fontId="18" fillId="0" borderId="0" xfId="2" applyNumberFormat="1" applyFont="1" applyFill="1" applyBorder="1" applyAlignment="1" applyProtection="1"/>
    <xf numFmtId="0" fontId="28" fillId="0" borderId="0" xfId="2" applyNumberFormat="1" applyFont="1" applyFill="1" applyBorder="1" applyAlignment="1" applyProtection="1"/>
    <xf numFmtId="0" fontId="18" fillId="3" borderId="11" xfId="2" applyNumberFormat="1" applyFont="1" applyFill="1" applyBorder="1" applyAlignment="1" applyProtection="1">
      <alignment horizontal="left"/>
    </xf>
    <xf numFmtId="0" fontId="15" fillId="3" borderId="11" xfId="2" applyNumberFormat="1" applyFont="1" applyFill="1" applyBorder="1" applyAlignment="1" applyProtection="1">
      <alignment horizontal="left" wrapText="1"/>
    </xf>
    <xf numFmtId="41" fontId="15" fillId="3" borderId="65" xfId="2" applyFont="1" applyFill="1" applyBorder="1" applyProtection="1"/>
    <xf numFmtId="3" fontId="15" fillId="3" borderId="67" xfId="2" applyNumberFormat="1" applyFont="1" applyFill="1" applyBorder="1" applyProtection="1"/>
    <xf numFmtId="3" fontId="15" fillId="3" borderId="65" xfId="2" applyNumberFormat="1" applyFont="1" applyFill="1" applyBorder="1" applyProtection="1"/>
    <xf numFmtId="3" fontId="15" fillId="3" borderId="68" xfId="2" applyNumberFormat="1" applyFont="1" applyFill="1" applyBorder="1" applyProtection="1"/>
    <xf numFmtId="41" fontId="15" fillId="3" borderId="64" xfId="2" applyFont="1" applyFill="1" applyBorder="1" applyAlignment="1" applyProtection="1">
      <alignment horizontal="center"/>
    </xf>
    <xf numFmtId="41" fontId="15" fillId="3" borderId="66" xfId="2" applyFont="1" applyFill="1" applyBorder="1" applyAlignment="1" applyProtection="1">
      <alignment horizontal="center"/>
    </xf>
    <xf numFmtId="3" fontId="15" fillId="3" borderId="64" xfId="2" applyNumberFormat="1" applyFont="1" applyFill="1" applyBorder="1" applyProtection="1"/>
    <xf numFmtId="3" fontId="15" fillId="3" borderId="66" xfId="2" applyNumberFormat="1" applyFont="1" applyFill="1" applyBorder="1" applyProtection="1"/>
    <xf numFmtId="3" fontId="18" fillId="2" borderId="0" xfId="2" applyNumberFormat="1" applyFont="1" applyFill="1" applyBorder="1" applyAlignment="1" applyProtection="1">
      <alignment horizontal="left"/>
    </xf>
    <xf numFmtId="41" fontId="18" fillId="2" borderId="87" xfId="2" applyFont="1" applyFill="1" applyBorder="1" applyAlignment="1" applyProtection="1">
      <alignment horizontal="center"/>
    </xf>
    <xf numFmtId="41" fontId="21" fillId="6" borderId="88" xfId="2" applyFont="1" applyFill="1" applyBorder="1" applyAlignment="1" applyProtection="1">
      <alignment horizontal="centerContinuous"/>
    </xf>
    <xf numFmtId="41" fontId="21" fillId="6" borderId="89" xfId="2" applyFont="1" applyFill="1" applyBorder="1" applyAlignment="1" applyProtection="1">
      <alignment horizontal="centerContinuous"/>
    </xf>
    <xf numFmtId="41" fontId="21" fillId="6" borderId="90" xfId="2" applyFont="1" applyFill="1" applyBorder="1" applyAlignment="1" applyProtection="1">
      <alignment horizontal="centerContinuous"/>
    </xf>
    <xf numFmtId="41" fontId="21" fillId="6" borderId="88" xfId="2" applyFont="1" applyFill="1" applyBorder="1" applyAlignment="1" applyProtection="1">
      <alignment horizontal="centerContinuous" wrapText="1"/>
    </xf>
    <xf numFmtId="41" fontId="46" fillId="2" borderId="0" xfId="2" applyFont="1" applyFill="1" applyAlignment="1" applyProtection="1">
      <alignment horizontal="left"/>
    </xf>
    <xf numFmtId="41" fontId="62" fillId="2" borderId="41" xfId="2" applyFont="1" applyFill="1" applyBorder="1" applyAlignment="1" applyProtection="1">
      <alignment horizontal="right"/>
    </xf>
    <xf numFmtId="1" fontId="15" fillId="3" borderId="9" xfId="2" applyNumberFormat="1" applyFont="1" applyFill="1" applyBorder="1" applyAlignment="1" applyProtection="1">
      <alignment horizontal="center"/>
    </xf>
    <xf numFmtId="1" fontId="15" fillId="3" borderId="10" xfId="2" applyNumberFormat="1" applyFont="1" applyFill="1" applyBorder="1" applyAlignment="1" applyProtection="1">
      <alignment horizontal="center"/>
    </xf>
    <xf numFmtId="0" fontId="7" fillId="3" borderId="0" xfId="0" applyFont="1" applyFill="1" applyAlignment="1" applyProtection="1">
      <alignment horizontal="center"/>
      <protection locked="0"/>
    </xf>
    <xf numFmtId="1" fontId="18" fillId="3" borderId="61" xfId="2" applyNumberFormat="1" applyFont="1" applyFill="1" applyBorder="1" applyAlignment="1" applyProtection="1">
      <alignment horizontal="left" indent="2"/>
    </xf>
    <xf numFmtId="1" fontId="16" fillId="3" borderId="41" xfId="2" quotePrefix="1" applyNumberFormat="1" applyFont="1" applyFill="1" applyBorder="1" applyAlignment="1" applyProtection="1">
      <alignment horizontal="center"/>
    </xf>
    <xf numFmtId="3" fontId="16" fillId="2" borderId="43" xfId="2" applyNumberFormat="1" applyFont="1" applyFill="1" applyBorder="1" applyProtection="1">
      <protection locked="0"/>
    </xf>
    <xf numFmtId="3" fontId="16" fillId="4" borderId="43" xfId="2" applyNumberFormat="1" applyFont="1" applyFill="1" applyBorder="1" applyProtection="1">
      <protection locked="0"/>
    </xf>
    <xf numFmtId="1" fontId="16" fillId="2" borderId="22" xfId="2" applyNumberFormat="1" applyFont="1" applyFill="1" applyBorder="1" applyProtection="1">
      <protection locked="0"/>
    </xf>
    <xf numFmtId="1" fontId="16" fillId="2" borderId="91" xfId="2" applyNumberFormat="1" applyFont="1" applyFill="1" applyBorder="1" applyProtection="1">
      <protection locked="0"/>
    </xf>
    <xf numFmtId="3" fontId="16" fillId="2" borderId="41" xfId="2" applyNumberFormat="1" applyFont="1" applyFill="1" applyBorder="1" applyProtection="1">
      <protection locked="0"/>
    </xf>
    <xf numFmtId="3" fontId="16" fillId="4" borderId="41" xfId="2" applyNumberFormat="1" applyFont="1" applyFill="1" applyBorder="1" applyProtection="1">
      <protection locked="0"/>
    </xf>
    <xf numFmtId="1" fontId="27" fillId="2" borderId="0" xfId="2" applyNumberFormat="1" applyFont="1" applyFill="1" applyAlignment="1" applyProtection="1">
      <alignment horizontal="right" vertical="top"/>
    </xf>
    <xf numFmtId="3" fontId="16" fillId="0" borderId="2" xfId="2" applyNumberFormat="1" applyFont="1" applyFill="1" applyBorder="1" applyAlignment="1" applyProtection="1">
      <alignment horizontal="centerContinuous"/>
    </xf>
    <xf numFmtId="3" fontId="19" fillId="3" borderId="92" xfId="2" applyNumberFormat="1" applyFont="1" applyFill="1" applyBorder="1" applyProtection="1"/>
    <xf numFmtId="3" fontId="19" fillId="3" borderId="14" xfId="2" applyNumberFormat="1" applyFont="1" applyFill="1" applyBorder="1" applyProtection="1"/>
    <xf numFmtId="3" fontId="19" fillId="3" borderId="57" xfId="2" applyNumberFormat="1" applyFont="1" applyFill="1" applyBorder="1" applyProtection="1"/>
    <xf numFmtId="3" fontId="19" fillId="3" borderId="15" xfId="2" applyNumberFormat="1" applyFont="1" applyFill="1" applyBorder="1" applyProtection="1"/>
    <xf numFmtId="3" fontId="19" fillId="3" borderId="8" xfId="2" applyNumberFormat="1" applyFont="1" applyFill="1" applyBorder="1" applyProtection="1"/>
    <xf numFmtId="3" fontId="16" fillId="3" borderId="93" xfId="2" quotePrefix="1" applyNumberFormat="1" applyFont="1" applyFill="1" applyBorder="1" applyAlignment="1" applyProtection="1">
      <alignment horizontal="center"/>
    </xf>
    <xf numFmtId="3" fontId="19" fillId="3" borderId="40" xfId="2" applyNumberFormat="1" applyFont="1" applyFill="1" applyBorder="1" applyProtection="1"/>
    <xf numFmtId="3" fontId="19" fillId="3" borderId="0" xfId="2" applyNumberFormat="1" applyFont="1" applyFill="1" applyBorder="1" applyProtection="1"/>
    <xf numFmtId="3" fontId="19" fillId="3" borderId="37" xfId="2" applyNumberFormat="1" applyFont="1" applyFill="1" applyBorder="1" applyProtection="1"/>
    <xf numFmtId="3" fontId="16" fillId="3" borderId="17" xfId="2" applyNumberFormat="1" applyFont="1" applyFill="1" applyBorder="1" applyAlignment="1" applyProtection="1">
      <alignment horizontal="center"/>
    </xf>
    <xf numFmtId="3" fontId="16" fillId="3" borderId="18" xfId="2" applyNumberFormat="1" applyFont="1" applyFill="1" applyBorder="1" applyAlignment="1" applyProtection="1">
      <alignment horizontal="center"/>
    </xf>
    <xf numFmtId="3" fontId="16" fillId="0" borderId="14" xfId="2" quotePrefix="1" applyNumberFormat="1" applyFont="1" applyFill="1" applyBorder="1" applyAlignment="1" applyProtection="1">
      <alignment horizontal="center"/>
    </xf>
    <xf numFmtId="3" fontId="16" fillId="3" borderId="87" xfId="2" quotePrefix="1" applyNumberFormat="1" applyFont="1" applyFill="1" applyBorder="1" applyAlignment="1" applyProtection="1">
      <alignment horizontal="center"/>
    </xf>
    <xf numFmtId="3" fontId="19" fillId="3" borderId="94" xfId="2" applyNumberFormat="1" applyFont="1" applyFill="1" applyBorder="1" applyProtection="1"/>
    <xf numFmtId="3" fontId="19" fillId="3" borderId="80" xfId="2" applyNumberFormat="1" applyFont="1" applyFill="1" applyBorder="1" applyProtection="1"/>
    <xf numFmtId="3" fontId="19" fillId="3" borderId="95" xfId="2" applyNumberFormat="1" applyFont="1" applyFill="1" applyBorder="1" applyProtection="1"/>
    <xf numFmtId="3" fontId="33" fillId="3" borderId="96" xfId="2" applyNumberFormat="1" applyFont="1" applyFill="1" applyBorder="1" applyAlignment="1" applyProtection="1">
      <alignment horizontal="center"/>
    </xf>
    <xf numFmtId="3" fontId="16" fillId="3" borderId="74" xfId="2" applyNumberFormat="1" applyFont="1" applyFill="1" applyBorder="1" applyAlignment="1" applyProtection="1">
      <alignment horizontal="centerContinuous"/>
    </xf>
    <xf numFmtId="3" fontId="16" fillId="3" borderId="75" xfId="2" applyNumberFormat="1" applyFont="1" applyFill="1" applyBorder="1" applyAlignment="1" applyProtection="1">
      <alignment horizontal="centerContinuous"/>
    </xf>
    <xf numFmtId="3" fontId="16" fillId="3" borderId="97" xfId="2" applyNumberFormat="1" applyFont="1" applyFill="1" applyBorder="1" applyAlignment="1" applyProtection="1">
      <alignment horizontal="centerContinuous"/>
    </xf>
    <xf numFmtId="3" fontId="16" fillId="3" borderId="63" xfId="2" applyNumberFormat="1" applyFont="1" applyFill="1" applyBorder="1" applyAlignment="1" applyProtection="1">
      <alignment horizontal="centerContinuous"/>
    </xf>
    <xf numFmtId="3" fontId="28" fillId="3" borderId="23" xfId="2" applyNumberFormat="1" applyFont="1" applyFill="1" applyBorder="1" applyAlignment="1" applyProtection="1">
      <alignment horizontal="right"/>
    </xf>
    <xf numFmtId="1" fontId="15" fillId="3" borderId="7" xfId="2" applyNumberFormat="1" applyFont="1" applyFill="1" applyBorder="1" applyAlignment="1" applyProtection="1">
      <alignment horizontal="left" wrapText="1"/>
    </xf>
    <xf numFmtId="1" fontId="15" fillId="3" borderId="78" xfId="2" applyNumberFormat="1" applyFont="1" applyFill="1" applyBorder="1" applyAlignment="1" applyProtection="1">
      <alignment horizontal="left" wrapText="1"/>
    </xf>
    <xf numFmtId="0" fontId="6" fillId="2" borderId="5" xfId="6" applyFont="1" applyFill="1" applyBorder="1" applyAlignment="1">
      <alignment horizontal="center"/>
    </xf>
    <xf numFmtId="0" fontId="6" fillId="2" borderId="0" xfId="6" applyFont="1" applyFill="1" applyAlignment="1">
      <alignment horizontal="center"/>
    </xf>
    <xf numFmtId="3" fontId="3" fillId="2" borderId="0" xfId="1" applyNumberFormat="1" applyFont="1" applyFill="1" applyProtection="1"/>
    <xf numFmtId="1" fontId="18" fillId="2" borderId="0" xfId="2" applyNumberFormat="1" applyFont="1" applyFill="1" applyBorder="1" applyProtection="1"/>
    <xf numFmtId="41" fontId="29" fillId="2" borderId="0" xfId="2" applyFont="1" applyFill="1" applyBorder="1" applyAlignment="1" applyProtection="1">
      <alignment horizontal="right"/>
    </xf>
    <xf numFmtId="3" fontId="18" fillId="2" borderId="0" xfId="2" applyNumberFormat="1" applyFont="1" applyFill="1" applyBorder="1" applyAlignment="1" applyProtection="1">
      <alignment horizontal="centerContinuous"/>
    </xf>
    <xf numFmtId="3" fontId="15" fillId="2" borderId="0" xfId="2" applyNumberFormat="1" applyFont="1" applyFill="1" applyBorder="1" applyAlignment="1" applyProtection="1">
      <alignment horizontal="centerContinuous"/>
    </xf>
    <xf numFmtId="3" fontId="42" fillId="2" borderId="0" xfId="2" applyNumberFormat="1" applyFont="1" applyFill="1" applyBorder="1" applyAlignment="1" applyProtection="1">
      <alignment horizontal="centerContinuous"/>
    </xf>
    <xf numFmtId="3" fontId="46" fillId="2" borderId="0" xfId="4" applyNumberFormat="1" applyFont="1" applyFill="1" applyBorder="1" applyAlignment="1" applyProtection="1">
      <alignment horizontal="left"/>
    </xf>
    <xf numFmtId="3" fontId="15" fillId="2" borderId="53" xfId="2" applyNumberFormat="1" applyFont="1" applyFill="1" applyBorder="1" applyAlignment="1" applyProtection="1">
      <alignment horizontal="centerContinuous"/>
    </xf>
    <xf numFmtId="3" fontId="15" fillId="2" borderId="98" xfId="2" applyNumberFormat="1" applyFont="1" applyFill="1" applyBorder="1" applyAlignment="1" applyProtection="1">
      <alignment horizontal="centerContinuous"/>
    </xf>
    <xf numFmtId="3" fontId="16" fillId="2" borderId="98" xfId="2" applyNumberFormat="1" applyFont="1" applyFill="1" applyBorder="1" applyAlignment="1" applyProtection="1">
      <alignment horizontal="center"/>
    </xf>
    <xf numFmtId="0" fontId="0" fillId="0" borderId="53" xfId="0" applyBorder="1"/>
    <xf numFmtId="0" fontId="0" fillId="0" borderId="98" xfId="0" applyBorder="1"/>
    <xf numFmtId="3" fontId="16" fillId="2" borderId="0" xfId="2" applyNumberFormat="1" applyFont="1" applyFill="1" applyBorder="1" applyAlignment="1" applyProtection="1">
      <alignment horizontal="centerContinuous"/>
    </xf>
    <xf numFmtId="3" fontId="46" fillId="2" borderId="0" xfId="2" applyNumberFormat="1" applyFont="1" applyFill="1" applyBorder="1" applyAlignment="1" applyProtection="1">
      <alignment horizontal="right" vertical="top"/>
    </xf>
    <xf numFmtId="3" fontId="16" fillId="0" borderId="0" xfId="2" applyNumberFormat="1" applyFont="1" applyFill="1" applyBorder="1" applyProtection="1"/>
    <xf numFmtId="3" fontId="16" fillId="0" borderId="98" xfId="2" applyNumberFormat="1" applyFont="1" applyFill="1" applyBorder="1" applyAlignment="1" applyProtection="1">
      <alignment horizontal="center"/>
    </xf>
    <xf numFmtId="3" fontId="16" fillId="2" borderId="9" xfId="2" applyNumberFormat="1" applyFont="1" applyFill="1" applyBorder="1" applyAlignment="1" applyProtection="1">
      <alignment horizontal="centerContinuous"/>
    </xf>
    <xf numFmtId="3" fontId="16" fillId="0" borderId="59" xfId="2" applyNumberFormat="1" applyFont="1" applyFill="1" applyBorder="1" applyAlignment="1" applyProtection="1">
      <alignment horizontal="center"/>
    </xf>
    <xf numFmtId="3" fontId="16" fillId="2" borderId="0" xfId="2" applyNumberFormat="1" applyFont="1" applyFill="1" applyBorder="1" applyAlignment="1" applyProtection="1">
      <alignment horizontal="center"/>
    </xf>
    <xf numFmtId="3" fontId="16" fillId="2" borderId="0" xfId="2" quotePrefix="1" applyNumberFormat="1" applyFont="1" applyFill="1" applyBorder="1" applyAlignment="1" applyProtection="1">
      <alignment horizontal="center"/>
    </xf>
    <xf numFmtId="3" fontId="46" fillId="2" borderId="0" xfId="2" quotePrefix="1" applyNumberFormat="1" applyFont="1" applyFill="1" applyBorder="1" applyAlignment="1" applyProtection="1">
      <alignment horizontal="right" vertical="top"/>
    </xf>
    <xf numFmtId="3" fontId="16" fillId="2" borderId="0" xfId="2" applyNumberFormat="1" applyFont="1" applyFill="1" applyBorder="1" applyProtection="1"/>
    <xf numFmtId="3" fontId="46" fillId="0" borderId="0" xfId="2" applyNumberFormat="1" applyFont="1" applyFill="1" applyBorder="1" applyAlignment="1" applyProtection="1">
      <alignment horizontal="right" vertical="top"/>
    </xf>
    <xf numFmtId="3" fontId="16" fillId="3" borderId="99" xfId="2" applyNumberFormat="1" applyFont="1" applyFill="1" applyBorder="1" applyProtection="1"/>
    <xf numFmtId="3" fontId="19" fillId="2" borderId="0" xfId="2" applyNumberFormat="1" applyFont="1" applyFill="1" applyBorder="1" applyProtection="1"/>
    <xf numFmtId="3" fontId="16" fillId="2" borderId="0" xfId="1" applyNumberFormat="1" applyFont="1" applyFill="1" applyBorder="1" applyAlignment="1" applyProtection="1">
      <alignment horizontal="left"/>
    </xf>
    <xf numFmtId="3" fontId="19" fillId="2" borderId="53" xfId="2" applyNumberFormat="1" applyFont="1" applyFill="1" applyBorder="1" applyProtection="1"/>
    <xf numFmtId="3" fontId="19" fillId="2" borderId="98" xfId="2" applyNumberFormat="1" applyFont="1" applyFill="1" applyBorder="1" applyProtection="1"/>
    <xf numFmtId="3" fontId="16" fillId="2" borderId="0" xfId="2" applyNumberFormat="1" applyFont="1" applyFill="1" applyBorder="1" applyAlignment="1" applyProtection="1">
      <alignment horizontal="left"/>
    </xf>
    <xf numFmtId="3" fontId="14" fillId="2" borderId="0" xfId="4" applyNumberFormat="1" applyFont="1" applyFill="1" applyBorder="1" applyAlignment="1" applyProtection="1">
      <alignment horizontal="centerContinuous"/>
    </xf>
    <xf numFmtId="3" fontId="16" fillId="0" borderId="0" xfId="2" applyNumberFormat="1" applyFont="1" applyFill="1" applyBorder="1" applyAlignment="1" applyProtection="1">
      <alignment horizontal="center"/>
    </xf>
    <xf numFmtId="3" fontId="16" fillId="0" borderId="2" xfId="2" applyNumberFormat="1" applyFont="1" applyFill="1" applyBorder="1" applyAlignment="1" applyProtection="1">
      <alignment horizontal="center"/>
    </xf>
    <xf numFmtId="3" fontId="16" fillId="3" borderId="100" xfId="2" applyNumberFormat="1" applyFont="1" applyFill="1" applyBorder="1" applyAlignment="1" applyProtection="1">
      <alignment horizontal="center"/>
    </xf>
    <xf numFmtId="3" fontId="16" fillId="3" borderId="101" xfId="2" applyNumberFormat="1" applyFont="1" applyFill="1" applyBorder="1" applyProtection="1"/>
    <xf numFmtId="3" fontId="16" fillId="3" borderId="55" xfId="2" applyNumberFormat="1" applyFont="1" applyFill="1" applyBorder="1" applyAlignment="1" applyProtection="1">
      <alignment horizontal="center"/>
    </xf>
    <xf numFmtId="3" fontId="16" fillId="3" borderId="63" xfId="2" applyNumberFormat="1" applyFont="1" applyFill="1" applyBorder="1" applyProtection="1"/>
    <xf numFmtId="3" fontId="19" fillId="3" borderId="102" xfId="2" applyNumberFormat="1" applyFont="1" applyFill="1" applyBorder="1" applyProtection="1"/>
    <xf numFmtId="3" fontId="19" fillId="3" borderId="93" xfId="2" applyNumberFormat="1" applyFont="1" applyFill="1" applyBorder="1" applyProtection="1"/>
    <xf numFmtId="3" fontId="19" fillId="3" borderId="103" xfId="2" applyNumberFormat="1" applyFont="1" applyFill="1" applyBorder="1" applyProtection="1"/>
    <xf numFmtId="3" fontId="19" fillId="3" borderId="104" xfId="2" applyNumberFormat="1" applyFont="1" applyFill="1" applyBorder="1" applyProtection="1"/>
    <xf numFmtId="3" fontId="19" fillId="3" borderId="105" xfId="2" applyNumberFormat="1" applyFont="1" applyFill="1" applyBorder="1" applyProtection="1"/>
    <xf numFmtId="3" fontId="19" fillId="3" borderId="106" xfId="2" applyNumberFormat="1" applyFont="1" applyFill="1" applyBorder="1" applyProtection="1"/>
    <xf numFmtId="3" fontId="16" fillId="3" borderId="53" xfId="2" applyNumberFormat="1" applyFont="1" applyFill="1" applyBorder="1" applyProtection="1"/>
    <xf numFmtId="3" fontId="16" fillId="3" borderId="0" xfId="2" applyNumberFormat="1" applyFont="1" applyFill="1" applyBorder="1" applyProtection="1"/>
    <xf numFmtId="3" fontId="16" fillId="3" borderId="98" xfId="2" applyNumberFormat="1" applyFont="1" applyFill="1" applyBorder="1" applyProtection="1"/>
    <xf numFmtId="3" fontId="33" fillId="3" borderId="55" xfId="2" applyNumberFormat="1" applyFont="1" applyFill="1" applyBorder="1" applyAlignment="1" applyProtection="1">
      <alignment horizontal="center"/>
    </xf>
    <xf numFmtId="3" fontId="33" fillId="3" borderId="63" xfId="2" applyNumberFormat="1" applyFont="1" applyFill="1" applyBorder="1" applyProtection="1"/>
    <xf numFmtId="3" fontId="16" fillId="2" borderId="14" xfId="1" applyNumberFormat="1" applyFont="1" applyFill="1" applyBorder="1" applyAlignment="1" applyProtection="1">
      <alignment horizontal="left"/>
    </xf>
    <xf numFmtId="3" fontId="16" fillId="2" borderId="46" xfId="2" applyNumberFormat="1" applyFont="1" applyFill="1" applyBorder="1" applyProtection="1"/>
    <xf numFmtId="3" fontId="16" fillId="2" borderId="14" xfId="2" applyNumberFormat="1" applyFont="1" applyFill="1" applyBorder="1" applyProtection="1"/>
    <xf numFmtId="3" fontId="16" fillId="2" borderId="58" xfId="2" applyNumberFormat="1" applyFont="1" applyFill="1" applyBorder="1" applyProtection="1"/>
    <xf numFmtId="3" fontId="19" fillId="2" borderId="0" xfId="2" applyNumberFormat="1" applyFont="1" applyFill="1" applyBorder="1" applyAlignment="1" applyProtection="1">
      <alignment horizontal="center"/>
    </xf>
    <xf numFmtId="3" fontId="34" fillId="2" borderId="0" xfId="4" applyNumberFormat="1" applyFont="1" applyFill="1" applyBorder="1" applyAlignment="1" applyProtection="1">
      <alignment horizontal="centerContinuous" vertical="center"/>
    </xf>
    <xf numFmtId="3" fontId="16" fillId="0" borderId="3" xfId="2" applyNumberFormat="1" applyFont="1" applyFill="1" applyBorder="1" applyAlignment="1" applyProtection="1">
      <alignment horizontal="center"/>
    </xf>
    <xf numFmtId="3" fontId="16" fillId="0" borderId="12" xfId="2" applyNumberFormat="1" applyFont="1" applyFill="1" applyBorder="1" applyAlignment="1" applyProtection="1">
      <alignment horizontal="center"/>
    </xf>
    <xf numFmtId="3" fontId="33" fillId="3" borderId="16" xfId="2" applyNumberFormat="1" applyFont="1" applyFill="1" applyBorder="1" applyAlignment="1" applyProtection="1">
      <alignment horizontal="center"/>
    </xf>
    <xf numFmtId="3" fontId="33" fillId="3" borderId="14" xfId="2" applyNumberFormat="1" applyFont="1" applyFill="1" applyBorder="1" applyAlignment="1" applyProtection="1">
      <alignment horizontal="center"/>
    </xf>
    <xf numFmtId="3" fontId="33" fillId="3" borderId="101" xfId="2" applyNumberFormat="1" applyFont="1" applyFill="1" applyBorder="1" applyProtection="1"/>
    <xf numFmtId="3" fontId="44" fillId="3" borderId="2" xfId="2" applyNumberFormat="1" applyFont="1" applyFill="1" applyBorder="1" applyAlignment="1" applyProtection="1">
      <alignment horizontal="center"/>
    </xf>
    <xf numFmtId="3" fontId="44" fillId="3" borderId="63" xfId="2" applyNumberFormat="1" applyFont="1" applyFill="1" applyBorder="1" applyProtection="1"/>
    <xf numFmtId="1" fontId="18" fillId="0" borderId="17" xfId="2" applyNumberFormat="1" applyFont="1" applyFill="1" applyBorder="1" applyProtection="1"/>
    <xf numFmtId="1" fontId="18" fillId="0" borderId="15" xfId="2" applyNumberFormat="1" applyFont="1" applyFill="1" applyBorder="1" applyAlignment="1" applyProtection="1">
      <alignment horizontal="center"/>
    </xf>
    <xf numFmtId="1" fontId="18" fillId="0" borderId="3" xfId="2" applyNumberFormat="1" applyFont="1" applyFill="1" applyBorder="1" applyAlignment="1" applyProtection="1">
      <alignment horizontal="center"/>
    </xf>
    <xf numFmtId="1" fontId="18" fillId="0" borderId="3" xfId="2" applyNumberFormat="1" applyFont="1" applyFill="1" applyBorder="1" applyProtection="1"/>
    <xf numFmtId="1" fontId="18" fillId="0" borderId="9" xfId="2" applyNumberFormat="1" applyFont="1" applyFill="1" applyBorder="1" applyProtection="1"/>
    <xf numFmtId="16" fontId="18" fillId="0" borderId="16" xfId="2" applyNumberFormat="1" applyFont="1" applyFill="1" applyBorder="1" applyAlignment="1" applyProtection="1">
      <alignment horizontal="left"/>
    </xf>
    <xf numFmtId="41" fontId="18" fillId="0" borderId="16" xfId="2" applyFont="1" applyFill="1" applyBorder="1" applyAlignment="1" applyProtection="1"/>
    <xf numFmtId="3" fontId="18" fillId="0" borderId="16" xfId="2" applyNumberFormat="1" applyFont="1" applyFill="1" applyBorder="1" applyAlignment="1" applyProtection="1"/>
    <xf numFmtId="0" fontId="5" fillId="0" borderId="14" xfId="0" applyFont="1" applyBorder="1"/>
    <xf numFmtId="3" fontId="5" fillId="0" borderId="14" xfId="0" applyNumberFormat="1" applyFont="1" applyBorder="1"/>
    <xf numFmtId="41" fontId="18" fillId="0" borderId="14" xfId="2" applyFont="1" applyFill="1" applyBorder="1" applyAlignment="1" applyProtection="1"/>
    <xf numFmtId="41" fontId="18" fillId="0" borderId="2" xfId="2" applyFont="1" applyFill="1" applyBorder="1" applyAlignment="1" applyProtection="1"/>
    <xf numFmtId="16" fontId="18" fillId="0" borderId="14" xfId="2" applyNumberFormat="1" applyFont="1" applyFill="1" applyBorder="1" applyAlignment="1" applyProtection="1">
      <alignment horizontal="left"/>
    </xf>
    <xf numFmtId="3" fontId="18" fillId="0" borderId="14" xfId="2" applyNumberFormat="1" applyFont="1" applyFill="1" applyBorder="1" applyAlignment="1" applyProtection="1"/>
    <xf numFmtId="3" fontId="16" fillId="5" borderId="11" xfId="2" applyNumberFormat="1" applyFont="1" applyFill="1" applyBorder="1" applyProtection="1"/>
    <xf numFmtId="3" fontId="16" fillId="5" borderId="12" xfId="2" applyNumberFormat="1" applyFont="1" applyFill="1" applyBorder="1" applyProtection="1"/>
    <xf numFmtId="1" fontId="21" fillId="2" borderId="0" xfId="2" applyNumberFormat="1" applyFont="1" applyFill="1" applyBorder="1" applyAlignment="1" applyProtection="1">
      <alignment horizontal="centerContinuous"/>
    </xf>
    <xf numFmtId="1" fontId="15" fillId="2" borderId="0" xfId="2" applyNumberFormat="1" applyFont="1" applyFill="1" applyBorder="1" applyAlignment="1" applyProtection="1">
      <alignment horizontal="center"/>
    </xf>
    <xf numFmtId="1" fontId="16" fillId="2" borderId="0" xfId="2" applyNumberFormat="1" applyFont="1" applyFill="1" applyBorder="1" applyAlignment="1" applyProtection="1">
      <alignment horizontal="right"/>
    </xf>
    <xf numFmtId="1" fontId="17" fillId="2" borderId="0" xfId="2" applyNumberFormat="1" applyFont="1" applyFill="1" applyBorder="1" applyAlignment="1" applyProtection="1">
      <alignment horizontal="left"/>
    </xf>
    <xf numFmtId="1" fontId="15" fillId="2" borderId="0" xfId="2" applyNumberFormat="1" applyFont="1" applyFill="1" applyBorder="1" applyAlignment="1" applyProtection="1">
      <alignment horizontal="centerContinuous"/>
    </xf>
    <xf numFmtId="1" fontId="18" fillId="2" borderId="1" xfId="2" applyNumberFormat="1" applyFont="1" applyFill="1" applyBorder="1" applyAlignment="1" applyProtection="1">
      <alignment horizontal="left"/>
    </xf>
    <xf numFmtId="1" fontId="15" fillId="2" borderId="1" xfId="2" applyNumberFormat="1" applyFont="1" applyFill="1" applyBorder="1" applyAlignment="1" applyProtection="1">
      <alignment horizontal="centerContinuous"/>
    </xf>
    <xf numFmtId="1" fontId="15" fillId="2" borderId="1" xfId="2" applyNumberFormat="1" applyFont="1" applyFill="1" applyBorder="1" applyAlignment="1" applyProtection="1">
      <alignment horizontal="center"/>
    </xf>
    <xf numFmtId="1" fontId="16" fillId="2" borderId="0" xfId="1" applyNumberFormat="1" applyFont="1" applyFill="1" applyBorder="1" applyAlignment="1" applyProtection="1">
      <alignment horizontal="left"/>
    </xf>
    <xf numFmtId="1" fontId="16" fillId="2" borderId="0" xfId="2" applyNumberFormat="1" applyFont="1" applyFill="1" applyBorder="1" applyProtection="1"/>
    <xf numFmtId="1" fontId="19" fillId="2" borderId="0" xfId="2" applyNumberFormat="1" applyFont="1" applyFill="1" applyBorder="1" applyProtection="1"/>
    <xf numFmtId="1" fontId="19" fillId="2" borderId="0" xfId="2" applyNumberFormat="1" applyFont="1" applyFill="1" applyBorder="1" applyAlignment="1" applyProtection="1">
      <alignment horizontal="left"/>
    </xf>
    <xf numFmtId="1" fontId="21" fillId="2" borderId="0" xfId="1" applyNumberFormat="1" applyFont="1" applyFill="1" applyBorder="1" applyAlignment="1" applyProtection="1">
      <alignment horizontal="left"/>
    </xf>
    <xf numFmtId="1" fontId="16" fillId="2" borderId="0" xfId="2" applyNumberFormat="1" applyFont="1" applyFill="1" applyBorder="1" applyAlignment="1" applyProtection="1">
      <alignment horizontal="center"/>
    </xf>
    <xf numFmtId="1" fontId="16" fillId="2" borderId="2" xfId="2" applyNumberFormat="1" applyFont="1" applyFill="1" applyBorder="1" applyProtection="1"/>
    <xf numFmtId="1" fontId="15" fillId="2" borderId="2" xfId="2" applyNumberFormat="1" applyFont="1" applyFill="1" applyBorder="1" applyAlignment="1" applyProtection="1">
      <alignment horizontal="center"/>
    </xf>
    <xf numFmtId="1" fontId="15" fillId="2" borderId="2" xfId="2" applyNumberFormat="1" applyFont="1" applyFill="1" applyBorder="1" applyAlignment="1" applyProtection="1">
      <alignment horizontal="centerContinuous"/>
    </xf>
    <xf numFmtId="1" fontId="16" fillId="3" borderId="0" xfId="2" applyNumberFormat="1" applyFont="1" applyFill="1" applyBorder="1" applyAlignment="1" applyProtection="1">
      <alignment horizontal="center"/>
    </xf>
    <xf numFmtId="1" fontId="16" fillId="3" borderId="0" xfId="2" applyNumberFormat="1" applyFont="1" applyFill="1" applyBorder="1" applyProtection="1"/>
    <xf numFmtId="1" fontId="19" fillId="3" borderId="0" xfId="2" applyNumberFormat="1" applyFont="1" applyFill="1" applyBorder="1" applyProtection="1"/>
    <xf numFmtId="1" fontId="16" fillId="3" borderId="2" xfId="2" applyNumberFormat="1" applyFont="1" applyFill="1" applyBorder="1" applyAlignment="1" applyProtection="1">
      <alignment horizontal="center"/>
    </xf>
    <xf numFmtId="1" fontId="16" fillId="3" borderId="2" xfId="2" applyNumberFormat="1" applyFont="1" applyFill="1" applyBorder="1" applyProtection="1"/>
    <xf numFmtId="1" fontId="19" fillId="3" borderId="2" xfId="2" applyNumberFormat="1" applyFont="1" applyFill="1" applyBorder="1" applyProtection="1"/>
    <xf numFmtId="1" fontId="19" fillId="3" borderId="12" xfId="2" applyNumberFormat="1" applyFont="1" applyFill="1" applyBorder="1" applyProtection="1"/>
    <xf numFmtId="1" fontId="16" fillId="2" borderId="9" xfId="2" applyNumberFormat="1" applyFont="1" applyFill="1" applyBorder="1" applyProtection="1"/>
    <xf numFmtId="1" fontId="16" fillId="2" borderId="22" xfId="2" applyNumberFormat="1" applyFont="1" applyFill="1" applyBorder="1" applyProtection="1"/>
    <xf numFmtId="1" fontId="19" fillId="2" borderId="2" xfId="2" applyNumberFormat="1" applyFont="1" applyFill="1" applyBorder="1" applyProtection="1"/>
    <xf numFmtId="1" fontId="16" fillId="2" borderId="91" xfId="2" applyNumberFormat="1" applyFont="1" applyFill="1" applyBorder="1" applyProtection="1"/>
    <xf numFmtId="1" fontId="15" fillId="2" borderId="0" xfId="2" applyNumberFormat="1" applyFont="1" applyFill="1" applyBorder="1" applyAlignment="1" applyProtection="1">
      <alignment horizontal="left"/>
    </xf>
    <xf numFmtId="1" fontId="14" fillId="2" borderId="0" xfId="2" applyNumberFormat="1" applyFont="1" applyFill="1" applyBorder="1" applyAlignment="1" applyProtection="1">
      <alignment horizontal="centerContinuous"/>
    </xf>
    <xf numFmtId="1" fontId="16" fillId="2" borderId="0" xfId="2" applyNumberFormat="1" applyFont="1" applyFill="1" applyBorder="1" applyAlignment="1" applyProtection="1">
      <alignment horizontal="centerContinuous"/>
    </xf>
    <xf numFmtId="1" fontId="15" fillId="2" borderId="2" xfId="4" applyNumberFormat="1" applyFont="1" applyFill="1" applyBorder="1" applyAlignment="1" applyProtection="1">
      <alignment horizontal="centerContinuous"/>
    </xf>
    <xf numFmtId="1" fontId="20" fillId="2" borderId="0" xfId="2" applyNumberFormat="1" applyFont="1" applyFill="1" applyBorder="1" applyProtection="1"/>
    <xf numFmtId="1" fontId="71" fillId="2" borderId="0" xfId="2" applyNumberFormat="1" applyFont="1" applyFill="1" applyBorder="1" applyAlignment="1" applyProtection="1">
      <alignment horizontal="right" vertical="top"/>
    </xf>
    <xf numFmtId="3" fontId="72" fillId="2" borderId="11" xfId="2" applyNumberFormat="1" applyFont="1" applyFill="1" applyBorder="1" applyProtection="1"/>
    <xf numFmtId="3" fontId="73" fillId="3" borderId="12" xfId="2" applyNumberFormat="1" applyFont="1" applyFill="1" applyBorder="1" applyProtection="1"/>
    <xf numFmtId="3" fontId="73" fillId="3" borderId="11" xfId="2" applyNumberFormat="1" applyFont="1" applyFill="1" applyBorder="1" applyProtection="1"/>
    <xf numFmtId="3" fontId="73" fillId="3" borderId="7" xfId="2" applyNumberFormat="1" applyFont="1" applyFill="1" applyBorder="1" applyProtection="1"/>
    <xf numFmtId="3" fontId="73" fillId="3" borderId="4" xfId="2" applyNumberFormat="1" applyFont="1" applyFill="1" applyBorder="1" applyProtection="1"/>
    <xf numFmtId="3" fontId="73" fillId="3" borderId="79" xfId="2" applyNumberFormat="1" applyFont="1" applyFill="1" applyBorder="1" applyProtection="1"/>
    <xf numFmtId="3" fontId="73" fillId="3" borderId="78" xfId="2" applyNumberFormat="1" applyFont="1" applyFill="1" applyBorder="1" applyProtection="1"/>
    <xf numFmtId="3" fontId="73" fillId="3" borderId="43" xfId="2" applyNumberFormat="1" applyFont="1" applyFill="1" applyBorder="1" applyProtection="1"/>
    <xf numFmtId="3" fontId="73" fillId="3" borderId="41" xfId="2" applyNumberFormat="1" applyFont="1" applyFill="1" applyBorder="1" applyProtection="1"/>
    <xf numFmtId="1" fontId="73" fillId="3" borderId="79" xfId="2" applyNumberFormat="1" applyFont="1" applyFill="1" applyBorder="1" applyProtection="1"/>
    <xf numFmtId="1" fontId="73" fillId="3" borderId="3" xfId="2" applyNumberFormat="1" applyFont="1" applyFill="1" applyBorder="1" applyProtection="1"/>
    <xf numFmtId="3" fontId="73" fillId="3" borderId="3" xfId="2" applyNumberFormat="1" applyFont="1" applyFill="1" applyBorder="1" applyProtection="1"/>
    <xf numFmtId="3" fontId="73" fillId="3" borderId="5" xfId="2" applyNumberFormat="1" applyFont="1" applyFill="1" applyBorder="1" applyProtection="1"/>
    <xf numFmtId="3" fontId="74" fillId="3" borderId="24" xfId="2" applyNumberFormat="1" applyFont="1" applyFill="1" applyBorder="1" applyProtection="1"/>
    <xf numFmtId="3" fontId="74" fillId="3" borderId="86" xfId="2" applyNumberFormat="1" applyFont="1" applyFill="1" applyBorder="1" applyProtection="1"/>
    <xf numFmtId="1" fontId="32" fillId="7" borderId="88" xfId="1" applyNumberFormat="1" applyFont="1" applyFill="1" applyBorder="1" applyAlignment="1" applyProtection="1">
      <alignment horizontal="left"/>
    </xf>
    <xf numFmtId="1" fontId="31" fillId="7" borderId="89" xfId="2" applyNumberFormat="1" applyFont="1" applyFill="1" applyBorder="1" applyAlignment="1" applyProtection="1">
      <alignment horizontal="right"/>
    </xf>
    <xf numFmtId="1" fontId="75" fillId="7" borderId="89" xfId="2" applyNumberFormat="1" applyFont="1" applyFill="1" applyBorder="1" applyAlignment="1" applyProtection="1">
      <alignment horizontal="center"/>
    </xf>
    <xf numFmtId="1" fontId="75" fillId="7" borderId="90" xfId="2" applyNumberFormat="1" applyFont="1" applyFill="1" applyBorder="1" applyAlignment="1" applyProtection="1">
      <alignment horizontal="center"/>
    </xf>
    <xf numFmtId="1" fontId="16" fillId="2" borderId="0" xfId="2" applyNumberFormat="1" applyFont="1" applyFill="1" applyBorder="1" applyAlignment="1" applyProtection="1"/>
    <xf numFmtId="1" fontId="15" fillId="2" borderId="0" xfId="1" applyNumberFormat="1" applyFont="1" applyFill="1" applyBorder="1" applyAlignment="1" applyProtection="1">
      <alignment horizontal="left"/>
    </xf>
    <xf numFmtId="3" fontId="26" fillId="4" borderId="11" xfId="2" applyNumberFormat="1" applyFont="1" applyFill="1" applyBorder="1" applyProtection="1"/>
    <xf numFmtId="3" fontId="26" fillId="2" borderId="11" xfId="2" applyNumberFormat="1" applyFont="1" applyFill="1" applyBorder="1" applyProtection="1"/>
    <xf numFmtId="3" fontId="26" fillId="2" borderId="12" xfId="2" applyNumberFormat="1" applyFont="1" applyFill="1" applyBorder="1" applyProtection="1"/>
    <xf numFmtId="3" fontId="26" fillId="4" borderId="12" xfId="2" applyNumberFormat="1" applyFont="1" applyFill="1" applyBorder="1" applyProtection="1"/>
    <xf numFmtId="3" fontId="26" fillId="3" borderId="0" xfId="2" applyNumberFormat="1" applyFont="1" applyFill="1" applyBorder="1" applyProtection="1"/>
    <xf numFmtId="3" fontId="73" fillId="3" borderId="0" xfId="2" applyNumberFormat="1" applyFont="1" applyFill="1" applyBorder="1" applyProtection="1"/>
    <xf numFmtId="3" fontId="26" fillId="2" borderId="43" xfId="2" applyNumberFormat="1" applyFont="1" applyFill="1" applyBorder="1" applyProtection="1"/>
    <xf numFmtId="3" fontId="26" fillId="4" borderId="43" xfId="2" applyNumberFormat="1" applyFont="1" applyFill="1" applyBorder="1" applyProtection="1"/>
    <xf numFmtId="3" fontId="26" fillId="3" borderId="2" xfId="2" applyNumberFormat="1" applyFont="1" applyFill="1" applyBorder="1" applyProtection="1"/>
    <xf numFmtId="3" fontId="73" fillId="3" borderId="2" xfId="2" applyNumberFormat="1" applyFont="1" applyFill="1" applyBorder="1" applyProtection="1"/>
    <xf numFmtId="1" fontId="26" fillId="2" borderId="12" xfId="2" applyNumberFormat="1" applyFont="1" applyFill="1" applyBorder="1" applyProtection="1"/>
    <xf numFmtId="1" fontId="26" fillId="4" borderId="12" xfId="2" applyNumberFormat="1" applyFont="1" applyFill="1" applyBorder="1" applyProtection="1"/>
    <xf numFmtId="3" fontId="26" fillId="2" borderId="7" xfId="2" applyNumberFormat="1" applyFont="1" applyFill="1" applyBorder="1" applyProtection="1"/>
    <xf numFmtId="3" fontId="26" fillId="4" borderId="7" xfId="2" applyNumberFormat="1" applyFont="1" applyFill="1" applyBorder="1" applyProtection="1"/>
    <xf numFmtId="3" fontId="26" fillId="2" borderId="41" xfId="2" applyNumberFormat="1" applyFont="1" applyFill="1" applyBorder="1" applyProtection="1"/>
    <xf numFmtId="3" fontId="26" fillId="4" borderId="41" xfId="2" applyNumberFormat="1" applyFont="1" applyFill="1" applyBorder="1" applyProtection="1"/>
    <xf numFmtId="1" fontId="26" fillId="2" borderId="7" xfId="2" applyNumberFormat="1" applyFont="1" applyFill="1" applyBorder="1" applyProtection="1"/>
    <xf numFmtId="1" fontId="26" fillId="4" borderId="7" xfId="2" applyNumberFormat="1" applyFont="1" applyFill="1" applyBorder="1" applyProtection="1"/>
    <xf numFmtId="1" fontId="15" fillId="2" borderId="0" xfId="2" applyNumberFormat="1" applyFont="1" applyFill="1" applyBorder="1" applyAlignment="1" applyProtection="1">
      <alignment horizontal="right" vertical="top"/>
    </xf>
    <xf numFmtId="1" fontId="77" fillId="2" borderId="0" xfId="2" applyNumberFormat="1" applyFont="1" applyFill="1" applyBorder="1" applyAlignment="1" applyProtection="1">
      <alignment horizontal="right" vertical="top"/>
    </xf>
    <xf numFmtId="3" fontId="16" fillId="3" borderId="9" xfId="2" applyNumberFormat="1" applyFont="1" applyFill="1" applyBorder="1" applyAlignment="1" applyProtection="1">
      <alignment horizontal="centerContinuous"/>
    </xf>
    <xf numFmtId="3" fontId="16" fillId="3" borderId="10" xfId="2" applyNumberFormat="1" applyFont="1" applyFill="1" applyBorder="1" applyAlignment="1" applyProtection="1">
      <alignment horizontal="centerContinuous"/>
    </xf>
    <xf numFmtId="3" fontId="16" fillId="2" borderId="10" xfId="2" applyNumberFormat="1" applyFont="1" applyFill="1" applyBorder="1" applyProtection="1">
      <protection locked="0"/>
    </xf>
    <xf numFmtId="3" fontId="16" fillId="2" borderId="18" xfId="2" applyNumberFormat="1" applyFont="1" applyFill="1" applyBorder="1" applyProtection="1">
      <protection locked="0"/>
    </xf>
    <xf numFmtId="3" fontId="16" fillId="2" borderId="9" xfId="2" applyNumberFormat="1" applyFont="1" applyFill="1" applyBorder="1" applyProtection="1">
      <protection locked="0"/>
    </xf>
    <xf numFmtId="3" fontId="19" fillId="3" borderId="17" xfId="2" applyNumberFormat="1" applyFont="1" applyFill="1" applyBorder="1" applyProtection="1"/>
    <xf numFmtId="3" fontId="19" fillId="3" borderId="85" xfId="2" applyNumberFormat="1" applyFont="1" applyFill="1" applyBorder="1" applyProtection="1"/>
    <xf numFmtId="3" fontId="19" fillId="3" borderId="9" xfId="2" applyNumberFormat="1" applyFont="1" applyFill="1" applyBorder="1" applyProtection="1"/>
    <xf numFmtId="3" fontId="16" fillId="3" borderId="46" xfId="2" applyNumberFormat="1" applyFont="1" applyFill="1" applyBorder="1" applyAlignment="1" applyProtection="1">
      <alignment horizontal="centerContinuous"/>
    </xf>
    <xf numFmtId="3" fontId="16" fillId="3" borderId="78" xfId="2" applyNumberFormat="1" applyFont="1" applyFill="1" applyBorder="1" applyProtection="1"/>
    <xf numFmtId="164" fontId="31" fillId="2" borderId="0" xfId="4" applyFont="1" applyFill="1" applyBorder="1" applyAlignment="1" applyProtection="1">
      <protection locked="0"/>
    </xf>
    <xf numFmtId="0" fontId="18" fillId="3" borderId="1" xfId="2" applyNumberFormat="1" applyFont="1" applyFill="1" applyBorder="1" applyAlignment="1" applyProtection="1">
      <alignment horizontal="left"/>
    </xf>
    <xf numFmtId="0" fontId="15" fillId="2" borderId="0" xfId="2" applyNumberFormat="1" applyFont="1" applyFill="1" applyBorder="1" applyAlignment="1" applyProtection="1"/>
    <xf numFmtId="0" fontId="17" fillId="2" borderId="0" xfId="2" applyNumberFormat="1" applyFont="1" applyFill="1" applyBorder="1" applyAlignment="1" applyProtection="1"/>
    <xf numFmtId="0" fontId="15" fillId="2" borderId="0" xfId="2" applyNumberFormat="1" applyFont="1" applyFill="1" applyBorder="1" applyAlignment="1" applyProtection="1">
      <alignment horizontal="center"/>
    </xf>
    <xf numFmtId="0" fontId="18" fillId="2" borderId="1" xfId="2" applyNumberFormat="1" applyFont="1" applyFill="1" applyBorder="1" applyAlignment="1" applyProtection="1">
      <alignment horizontal="left"/>
    </xf>
    <xf numFmtId="0" fontId="15" fillId="2" borderId="1" xfId="2" applyNumberFormat="1" applyFont="1" applyFill="1" applyBorder="1" applyAlignment="1" applyProtection="1">
      <alignment horizontal="centerContinuous"/>
    </xf>
    <xf numFmtId="0" fontId="15" fillId="2" borderId="1" xfId="2" applyNumberFormat="1" applyFont="1" applyFill="1" applyBorder="1" applyAlignment="1" applyProtection="1">
      <alignment horizontal="center"/>
    </xf>
    <xf numFmtId="0" fontId="16" fillId="2" borderId="0" xfId="2" applyNumberFormat="1" applyFont="1" applyFill="1" applyBorder="1" applyAlignment="1" applyProtection="1"/>
    <xf numFmtId="0" fontId="5" fillId="3" borderId="13" xfId="0" applyFont="1" applyFill="1" applyBorder="1" applyAlignment="1">
      <alignment horizontal="left"/>
    </xf>
    <xf numFmtId="3" fontId="76" fillId="2" borderId="0" xfId="4" quotePrefix="1" applyNumberFormat="1" applyFont="1" applyFill="1" applyBorder="1" applyAlignment="1" applyProtection="1"/>
    <xf numFmtId="0" fontId="47" fillId="0" borderId="9" xfId="0" applyFont="1" applyBorder="1" applyAlignment="1">
      <alignment horizontal="center" vertical="center"/>
    </xf>
    <xf numFmtId="1" fontId="42" fillId="0" borderId="4" xfId="2" applyNumberFormat="1" applyFont="1" applyFill="1" applyBorder="1" applyAlignment="1" applyProtection="1">
      <alignment horizontal="center"/>
      <protection locked="0"/>
    </xf>
    <xf numFmtId="1" fontId="76" fillId="2" borderId="0" xfId="4" applyNumberFormat="1" applyFont="1" applyFill="1" applyBorder="1" applyAlignment="1" applyProtection="1">
      <alignment horizontal="centerContinuous"/>
      <protection locked="0"/>
    </xf>
    <xf numFmtId="1" fontId="75" fillId="2" borderId="0" xfId="4" applyNumberFormat="1" applyFont="1" applyFill="1" applyBorder="1" applyAlignment="1" applyProtection="1">
      <alignment horizontal="centerContinuous"/>
      <protection locked="0"/>
    </xf>
    <xf numFmtId="3" fontId="76" fillId="2" borderId="0" xfId="4" applyNumberFormat="1" applyFont="1" applyFill="1" applyBorder="1" applyAlignment="1" applyProtection="1">
      <alignment horizontal="centerContinuous"/>
      <protection locked="0"/>
    </xf>
    <xf numFmtId="164" fontId="76" fillId="2" borderId="0" xfId="4" applyFont="1" applyFill="1" applyBorder="1" applyAlignment="1" applyProtection="1">
      <alignment horizontal="centerContinuous"/>
      <protection locked="0"/>
    </xf>
    <xf numFmtId="0" fontId="5" fillId="2" borderId="0" xfId="6" applyFont="1" applyFill="1" applyAlignment="1" applyProtection="1">
      <alignment wrapText="1"/>
      <protection locked="0"/>
    </xf>
    <xf numFmtId="0" fontId="0" fillId="2" borderId="0" xfId="0" applyFill="1" applyAlignment="1" applyProtection="1">
      <alignment wrapText="1"/>
      <protection locked="0"/>
    </xf>
    <xf numFmtId="1" fontId="16" fillId="3" borderId="5" xfId="2" quotePrefix="1" applyNumberFormat="1" applyFont="1" applyFill="1" applyBorder="1" applyAlignment="1" applyProtection="1">
      <alignment horizontal="center"/>
    </xf>
    <xf numFmtId="3" fontId="19" fillId="3" borderId="16" xfId="2" applyNumberFormat="1" applyFont="1" applyFill="1" applyBorder="1" applyProtection="1"/>
    <xf numFmtId="1" fontId="16" fillId="3" borderId="16" xfId="2" quotePrefix="1" applyNumberFormat="1" applyFont="1" applyFill="1" applyBorder="1" applyAlignment="1" applyProtection="1">
      <alignment horizontal="center"/>
    </xf>
    <xf numFmtId="1" fontId="18" fillId="3" borderId="4" xfId="2" applyNumberFormat="1" applyFont="1" applyFill="1" applyBorder="1" applyAlignment="1" applyProtection="1">
      <alignment horizontal="left" indent="4"/>
    </xf>
    <xf numFmtId="1" fontId="18" fillId="3" borderId="7" xfId="2" applyNumberFormat="1" applyFont="1" applyFill="1" applyBorder="1" applyAlignment="1" applyProtection="1">
      <alignment horizontal="left" indent="4"/>
    </xf>
    <xf numFmtId="1" fontId="18" fillId="3" borderId="7" xfId="2" quotePrefix="1" applyNumberFormat="1" applyFont="1" applyFill="1" applyBorder="1" applyAlignment="1" applyProtection="1">
      <alignment horizontal="left" indent="6"/>
    </xf>
    <xf numFmtId="1" fontId="16" fillId="3" borderId="16" xfId="2" applyNumberFormat="1" applyFont="1" applyFill="1" applyBorder="1" applyProtection="1">
      <protection locked="0"/>
    </xf>
    <xf numFmtId="168" fontId="16" fillId="2" borderId="0" xfId="10" applyNumberFormat="1" applyFont="1" applyFill="1" applyBorder="1" applyAlignment="1" applyProtection="1">
      <alignment horizontal="center"/>
      <protection locked="0"/>
    </xf>
    <xf numFmtId="2" fontId="16" fillId="2" borderId="0" xfId="2" applyNumberFormat="1" applyFont="1" applyFill="1" applyBorder="1" applyProtection="1">
      <protection locked="0"/>
    </xf>
    <xf numFmtId="1" fontId="89" fillId="3" borderId="18" xfId="2" applyNumberFormat="1" applyFont="1" applyFill="1" applyBorder="1" applyAlignment="1" applyProtection="1">
      <alignment horizontal="left" indent="4"/>
    </xf>
    <xf numFmtId="3" fontId="16" fillId="5" borderId="3" xfId="2" applyNumberFormat="1" applyFont="1" applyFill="1" applyBorder="1" applyProtection="1"/>
    <xf numFmtId="3" fontId="16" fillId="5" borderId="16" xfId="2" applyNumberFormat="1" applyFont="1" applyFill="1" applyBorder="1" applyProtection="1"/>
    <xf numFmtId="1" fontId="89" fillId="3" borderId="18" xfId="2" applyNumberFormat="1" applyFont="1" applyFill="1" applyBorder="1" applyAlignment="1" applyProtection="1">
      <alignment horizontal="left" wrapText="1" indent="4"/>
    </xf>
    <xf numFmtId="1" fontId="18" fillId="3" borderId="4" xfId="2" quotePrefix="1" applyNumberFormat="1" applyFont="1" applyFill="1" applyBorder="1" applyAlignment="1" applyProtection="1">
      <alignment horizontal="left" indent="6"/>
    </xf>
    <xf numFmtId="3" fontId="18" fillId="0" borderId="8" xfId="2" applyNumberFormat="1" applyFont="1" applyFill="1" applyBorder="1" applyProtection="1"/>
    <xf numFmtId="3" fontId="18" fillId="0" borderId="5" xfId="2" applyNumberFormat="1" applyFont="1" applyFill="1" applyBorder="1" applyProtection="1"/>
    <xf numFmtId="3" fontId="16" fillId="3" borderId="79" xfId="2" applyNumberFormat="1" applyFont="1" applyFill="1" applyBorder="1" applyProtection="1"/>
    <xf numFmtId="3" fontId="19" fillId="3" borderId="23" xfId="2" applyNumberFormat="1" applyFont="1" applyFill="1" applyBorder="1" applyProtection="1"/>
    <xf numFmtId="1" fontId="14" fillId="3" borderId="10" xfId="2" applyNumberFormat="1" applyFont="1" applyFill="1" applyBorder="1" applyAlignment="1" applyProtection="1">
      <alignment wrapText="1"/>
    </xf>
    <xf numFmtId="1" fontId="20" fillId="3" borderId="4" xfId="2" quotePrefix="1" applyNumberFormat="1" applyFont="1" applyFill="1" applyBorder="1" applyAlignment="1" applyProtection="1">
      <alignment horizontal="center"/>
    </xf>
    <xf numFmtId="0" fontId="3" fillId="2" borderId="0" xfId="6" quotePrefix="1" applyFill="1" applyAlignment="1" applyProtection="1">
      <alignment horizontal="center" vertical="center"/>
      <protection locked="0"/>
    </xf>
    <xf numFmtId="3" fontId="6" fillId="2" borderId="0" xfId="6" quotePrefix="1" applyNumberFormat="1" applyFont="1" applyFill="1" applyAlignment="1" applyProtection="1">
      <alignment horizontal="left" vertical="top"/>
      <protection locked="0"/>
    </xf>
    <xf numFmtId="0" fontId="6" fillId="3" borderId="34" xfId="6" applyFont="1" applyFill="1" applyBorder="1" applyAlignment="1">
      <alignment horizontal="center"/>
    </xf>
    <xf numFmtId="3" fontId="3" fillId="3" borderId="33" xfId="6" applyNumberFormat="1" applyFill="1" applyBorder="1"/>
    <xf numFmtId="0" fontId="10" fillId="2" borderId="0" xfId="0" applyFont="1" applyFill="1" applyProtection="1">
      <protection locked="0"/>
    </xf>
    <xf numFmtId="0" fontId="6" fillId="0" borderId="0" xfId="0" applyFont="1" applyAlignment="1" applyProtection="1">
      <alignment horizontal="left" vertical="center" wrapText="1"/>
      <protection locked="0"/>
    </xf>
    <xf numFmtId="3" fontId="3" fillId="0" borderId="0" xfId="6" applyNumberFormat="1" applyProtection="1">
      <protection locked="0"/>
    </xf>
    <xf numFmtId="0" fontId="39" fillId="2" borderId="0" xfId="0" applyFont="1" applyFill="1" applyAlignment="1">
      <alignment horizontal="left"/>
    </xf>
    <xf numFmtId="0" fontId="6" fillId="2" borderId="0" xfId="0" applyFont="1" applyFill="1" applyAlignment="1" applyProtection="1">
      <alignment horizontal="left" vertical="center" wrapText="1"/>
      <protection locked="0"/>
    </xf>
    <xf numFmtId="0" fontId="29" fillId="2" borderId="7" xfId="0" applyFont="1" applyFill="1" applyBorder="1" applyAlignment="1">
      <alignment horizontal="center"/>
    </xf>
    <xf numFmtId="1" fontId="51" fillId="0" borderId="56" xfId="0" applyNumberFormat="1" applyFont="1" applyBorder="1" applyAlignment="1" applyProtection="1">
      <alignment horizontal="center"/>
      <protection locked="0"/>
    </xf>
    <xf numFmtId="0" fontId="6" fillId="2" borderId="34" xfId="0" applyFont="1" applyFill="1" applyBorder="1" applyAlignment="1" applyProtection="1">
      <alignment horizontal="center"/>
      <protection locked="0"/>
    </xf>
    <xf numFmtId="0" fontId="63" fillId="2" borderId="33" xfId="0" applyFont="1" applyFill="1" applyBorder="1" applyAlignment="1" applyProtection="1">
      <alignment horizontal="center" vertical="center"/>
      <protection locked="0"/>
    </xf>
    <xf numFmtId="0" fontId="6" fillId="2" borderId="107" xfId="0" applyFont="1" applyFill="1" applyBorder="1" applyAlignment="1" applyProtection="1">
      <alignment horizontal="center"/>
      <protection locked="0"/>
    </xf>
    <xf numFmtId="0" fontId="6" fillId="3" borderId="0" xfId="0" applyFont="1" applyFill="1" applyAlignment="1" applyProtection="1">
      <alignment horizontal="center"/>
      <protection locked="0"/>
    </xf>
    <xf numFmtId="0" fontId="13" fillId="3" borderId="0" xfId="0" applyFont="1" applyFill="1" applyAlignment="1" applyProtection="1">
      <alignment horizontal="center"/>
      <protection locked="0"/>
    </xf>
    <xf numFmtId="1" fontId="57" fillId="3" borderId="0" xfId="0" applyNumberFormat="1" applyFont="1" applyFill="1"/>
    <xf numFmtId="3" fontId="57" fillId="3" borderId="0" xfId="0" applyNumberFormat="1" applyFont="1" applyFill="1" applyAlignment="1">
      <alignment horizontal="right"/>
    </xf>
    <xf numFmtId="3" fontId="57" fillId="3" borderId="0" xfId="0" applyNumberFormat="1" applyFont="1" applyFill="1"/>
    <xf numFmtId="0" fontId="40" fillId="3" borderId="0" xfId="0" applyFont="1" applyFill="1" applyAlignment="1" applyProtection="1">
      <alignment horizontal="left" indent="2"/>
      <protection locked="0"/>
    </xf>
    <xf numFmtId="0" fontId="57" fillId="3" borderId="0" xfId="0" applyFont="1" applyFill="1"/>
    <xf numFmtId="0" fontId="10" fillId="8" borderId="108" xfId="0" applyFont="1" applyFill="1" applyBorder="1" applyAlignment="1" applyProtection="1">
      <alignment horizontal="left"/>
      <protection locked="0"/>
    </xf>
    <xf numFmtId="0" fontId="10" fillId="8" borderId="75" xfId="0" applyFont="1" applyFill="1" applyBorder="1" applyAlignment="1" applyProtection="1">
      <alignment horizontal="center"/>
      <protection locked="0"/>
    </xf>
    <xf numFmtId="1" fontId="18" fillId="3" borderId="8" xfId="2" applyNumberFormat="1" applyFont="1" applyFill="1" applyBorder="1" applyProtection="1"/>
    <xf numFmtId="1" fontId="18" fillId="3" borderId="0" xfId="2" applyNumberFormat="1" applyFont="1" applyFill="1" applyBorder="1" applyProtection="1"/>
    <xf numFmtId="1" fontId="15" fillId="3" borderId="8" xfId="2" applyNumberFormat="1" applyFont="1" applyFill="1" applyBorder="1" applyAlignment="1" applyProtection="1">
      <alignment horizontal="center"/>
    </xf>
    <xf numFmtId="1" fontId="18" fillId="3" borderId="8" xfId="2" applyNumberFormat="1" applyFont="1" applyFill="1" applyBorder="1" applyProtection="1">
      <protection locked="0"/>
    </xf>
    <xf numFmtId="0" fontId="0" fillId="2" borderId="0" xfId="0" applyFill="1"/>
    <xf numFmtId="0" fontId="3" fillId="2" borderId="0" xfId="6" quotePrefix="1" applyFill="1" applyAlignment="1" applyProtection="1">
      <alignment horizontal="center" vertical="top"/>
      <protection locked="0"/>
    </xf>
    <xf numFmtId="0" fontId="0" fillId="2" borderId="3" xfId="0" applyFill="1" applyBorder="1" applyAlignment="1">
      <alignment vertical="top"/>
    </xf>
    <xf numFmtId="0" fontId="3" fillId="2" borderId="0" xfId="6" applyFill="1" applyAlignment="1" applyProtection="1">
      <alignment vertical="top"/>
      <protection locked="0"/>
    </xf>
    <xf numFmtId="3" fontId="3" fillId="3" borderId="7" xfId="1" applyNumberFormat="1" applyFont="1" applyFill="1" applyBorder="1" applyAlignment="1" applyProtection="1">
      <alignment horizontal="center" vertical="center"/>
    </xf>
    <xf numFmtId="0" fontId="5" fillId="2" borderId="0" xfId="6" applyFont="1" applyFill="1" applyAlignment="1" applyProtection="1">
      <alignment horizontal="left" vertical="center"/>
      <protection locked="0"/>
    </xf>
    <xf numFmtId="9" fontId="3" fillId="3" borderId="7" xfId="10" applyFont="1" applyFill="1" applyBorder="1" applyAlignment="1" applyProtection="1">
      <alignment horizontal="center" vertical="center"/>
    </xf>
    <xf numFmtId="0" fontId="6" fillId="2" borderId="0" xfId="6" applyFont="1" applyFill="1" applyAlignment="1" applyProtection="1">
      <alignment horizontal="center" vertical="center"/>
      <protection locked="0"/>
    </xf>
    <xf numFmtId="0" fontId="96" fillId="2" borderId="0" xfId="6" applyFont="1" applyFill="1" applyAlignment="1">
      <alignment horizontal="right" vertical="top"/>
    </xf>
    <xf numFmtId="3" fontId="3" fillId="3" borderId="7" xfId="10" applyNumberFormat="1" applyFont="1" applyFill="1" applyBorder="1" applyAlignment="1" applyProtection="1">
      <alignment horizontal="center" vertical="center"/>
    </xf>
    <xf numFmtId="0" fontId="3" fillId="2" borderId="2" xfId="6" applyFill="1" applyBorder="1" applyProtection="1">
      <protection locked="0"/>
    </xf>
    <xf numFmtId="0" fontId="3" fillId="2" borderId="16" xfId="6" applyFill="1" applyBorder="1" applyProtection="1">
      <protection locked="0"/>
    </xf>
    <xf numFmtId="3" fontId="3" fillId="2" borderId="16" xfId="6" applyNumberFormat="1" applyFill="1" applyBorder="1" applyProtection="1">
      <protection locked="0"/>
    </xf>
    <xf numFmtId="0" fontId="12" fillId="3" borderId="109" xfId="6" applyFont="1" applyFill="1" applyBorder="1" applyAlignment="1">
      <alignment horizontal="centerContinuous"/>
    </xf>
    <xf numFmtId="0" fontId="12" fillId="3" borderId="110" xfId="6" applyFont="1" applyFill="1" applyBorder="1" applyAlignment="1">
      <alignment horizontal="centerContinuous"/>
    </xf>
    <xf numFmtId="0" fontId="56" fillId="3" borderId="111" xfId="6" applyFont="1" applyFill="1" applyBorder="1" applyAlignment="1">
      <alignment horizontal="centerContinuous"/>
    </xf>
    <xf numFmtId="0" fontId="6" fillId="3" borderId="30" xfId="6" applyFont="1" applyFill="1" applyBorder="1" applyAlignment="1">
      <alignment horizontal="center"/>
    </xf>
    <xf numFmtId="0" fontId="57" fillId="3" borderId="0" xfId="0" applyFont="1" applyFill="1" applyAlignment="1">
      <alignment vertical="center"/>
    </xf>
    <xf numFmtId="0" fontId="39" fillId="2" borderId="0" xfId="0" applyFont="1" applyFill="1" applyAlignment="1">
      <alignment wrapText="1"/>
    </xf>
    <xf numFmtId="0" fontId="39" fillId="2" borderId="0" xfId="0" applyFont="1" applyFill="1"/>
    <xf numFmtId="0" fontId="39" fillId="0" borderId="0" xfId="0" applyFont="1"/>
    <xf numFmtId="0" fontId="29" fillId="2" borderId="8" xfId="0" applyFont="1" applyFill="1" applyBorder="1" applyAlignment="1">
      <alignment horizontal="center"/>
    </xf>
    <xf numFmtId="0" fontId="8" fillId="2" borderId="0" xfId="8" applyFill="1" applyProtection="1">
      <protection locked="0"/>
    </xf>
    <xf numFmtId="0" fontId="8" fillId="0" borderId="0" xfId="8" applyProtection="1">
      <protection locked="0"/>
    </xf>
    <xf numFmtId="167" fontId="17" fillId="4" borderId="1" xfId="3" applyNumberFormat="1" applyFont="1" applyFill="1" applyBorder="1" applyAlignment="1" applyProtection="1">
      <alignment horizontal="left"/>
    </xf>
    <xf numFmtId="0" fontId="38" fillId="4" borderId="0" xfId="8" applyFont="1" applyFill="1" applyAlignment="1">
      <alignment horizontal="centerContinuous"/>
    </xf>
    <xf numFmtId="3" fontId="18" fillId="4" borderId="1" xfId="3" applyNumberFormat="1" applyFont="1" applyFill="1" applyBorder="1" applyAlignment="1" applyProtection="1">
      <alignment horizontal="left"/>
    </xf>
    <xf numFmtId="1" fontId="39" fillId="2" borderId="0" xfId="8" applyNumberFormat="1" applyFont="1" applyFill="1" applyAlignment="1" applyProtection="1">
      <alignment horizontal="left"/>
      <protection locked="0"/>
    </xf>
    <xf numFmtId="0" fontId="64" fillId="2" borderId="0" xfId="8" applyFont="1" applyFill="1" applyAlignment="1" applyProtection="1">
      <alignment horizontal="centerContinuous"/>
      <protection locked="0"/>
    </xf>
    <xf numFmtId="0" fontId="3" fillId="2" borderId="0" xfId="8" applyFont="1" applyFill="1" applyAlignment="1" applyProtection="1">
      <alignment horizontal="centerContinuous"/>
      <protection locked="0"/>
    </xf>
    <xf numFmtId="0" fontId="3" fillId="2" borderId="0" xfId="9" applyFill="1" applyProtection="1">
      <protection locked="0"/>
    </xf>
    <xf numFmtId="0" fontId="3" fillId="2" borderId="0" xfId="8" applyFont="1" applyFill="1" applyAlignment="1" applyProtection="1">
      <alignment horizontal="left"/>
      <protection locked="0"/>
    </xf>
    <xf numFmtId="0" fontId="78" fillId="2" borderId="0" xfId="8" applyFont="1" applyFill="1" applyProtection="1">
      <protection locked="0"/>
    </xf>
    <xf numFmtId="0" fontId="8" fillId="2" borderId="0" xfId="8" applyFill="1" applyAlignment="1" applyProtection="1">
      <alignment wrapText="1"/>
      <protection locked="0"/>
    </xf>
    <xf numFmtId="3" fontId="8" fillId="2" borderId="7" xfId="8" applyNumberFormat="1" applyFill="1" applyBorder="1" applyProtection="1">
      <protection locked="0"/>
    </xf>
    <xf numFmtId="3" fontId="8" fillId="2" borderId="0" xfId="8" applyNumberFormat="1" applyFill="1" applyProtection="1">
      <protection locked="0"/>
    </xf>
    <xf numFmtId="3" fontId="8" fillId="3" borderId="7" xfId="8" applyNumberFormat="1" applyFill="1" applyBorder="1"/>
    <xf numFmtId="0" fontId="8" fillId="2" borderId="0" xfId="8" applyFill="1" applyAlignment="1" applyProtection="1">
      <alignment horizontal="left" indent="1"/>
      <protection locked="0"/>
    </xf>
    <xf numFmtId="0" fontId="56" fillId="2" borderId="0" xfId="8" applyFont="1" applyFill="1" applyProtection="1">
      <protection locked="0"/>
    </xf>
    <xf numFmtId="1" fontId="8" fillId="2" borderId="0" xfId="8" applyNumberFormat="1" applyFill="1" applyProtection="1">
      <protection locked="0"/>
    </xf>
    <xf numFmtId="0" fontId="54" fillId="4" borderId="0" xfId="8" applyFont="1" applyFill="1" applyAlignment="1">
      <alignment horizontal="left"/>
    </xf>
    <xf numFmtId="0" fontId="3" fillId="2" borderId="0" xfId="9" quotePrefix="1" applyFill="1" applyAlignment="1" applyProtection="1">
      <alignment horizontal="right" vertical="top"/>
      <protection locked="0"/>
    </xf>
    <xf numFmtId="1" fontId="54" fillId="3" borderId="0" xfId="0" applyNumberFormat="1" applyFont="1" applyFill="1"/>
    <xf numFmtId="0" fontId="51" fillId="4" borderId="0" xfId="8" applyFont="1" applyFill="1" applyAlignment="1">
      <alignment horizontal="centerContinuous"/>
    </xf>
    <xf numFmtId="0" fontId="6" fillId="2" borderId="3" xfId="6" applyFont="1" applyFill="1" applyBorder="1" applyAlignment="1" applyProtection="1">
      <alignment horizontal="center" vertical="center" wrapText="1"/>
      <protection locked="0"/>
    </xf>
    <xf numFmtId="3" fontId="44" fillId="2" borderId="7" xfId="1" applyNumberFormat="1" applyFont="1" applyFill="1" applyBorder="1" applyAlignment="1" applyProtection="1">
      <alignment horizontal="center" vertical="center"/>
      <protection locked="0"/>
    </xf>
    <xf numFmtId="0" fontId="98" fillId="2" borderId="0" xfId="0" applyFont="1" applyFill="1" applyProtection="1">
      <protection locked="0"/>
    </xf>
    <xf numFmtId="0" fontId="8" fillId="2" borderId="0" xfId="8" applyFill="1" applyAlignment="1" applyProtection="1">
      <alignment horizontal="left" vertical="top" wrapText="1"/>
      <protection locked="0"/>
    </xf>
    <xf numFmtId="0" fontId="6" fillId="2" borderId="0" xfId="9" applyFont="1" applyFill="1" applyProtection="1">
      <protection locked="0"/>
    </xf>
    <xf numFmtId="0" fontId="3" fillId="2" borderId="0" xfId="9" applyFill="1" applyAlignment="1" applyProtection="1">
      <alignment horizontal="right" vertical="top"/>
      <protection locked="0"/>
    </xf>
    <xf numFmtId="3" fontId="8" fillId="2" borderId="16" xfId="8" applyNumberFormat="1" applyFill="1" applyBorder="1" applyProtection="1">
      <protection locked="0"/>
    </xf>
    <xf numFmtId="0" fontId="6" fillId="2" borderId="0" xfId="8" applyFont="1" applyFill="1" applyProtection="1">
      <protection locked="0"/>
    </xf>
    <xf numFmtId="1" fontId="6" fillId="3" borderId="7" xfId="8" applyNumberFormat="1" applyFont="1" applyFill="1" applyBorder="1"/>
    <xf numFmtId="0" fontId="38" fillId="4" borderId="1" xfId="8" applyFont="1" applyFill="1" applyBorder="1" applyAlignment="1">
      <alignment horizontal="centerContinuous"/>
    </xf>
    <xf numFmtId="0" fontId="8" fillId="4" borderId="0" xfId="8" applyFill="1"/>
    <xf numFmtId="0" fontId="8" fillId="4" borderId="1" xfId="8" applyFill="1" applyBorder="1"/>
    <xf numFmtId="0" fontId="8" fillId="4" borderId="6" xfId="8" applyFill="1" applyBorder="1"/>
    <xf numFmtId="1" fontId="39" fillId="4" borderId="0" xfId="8" applyNumberFormat="1" applyFont="1" applyFill="1" applyAlignment="1">
      <alignment horizontal="left"/>
    </xf>
    <xf numFmtId="0" fontId="64" fillId="4" borderId="0" xfId="8" applyFont="1" applyFill="1" applyAlignment="1">
      <alignment horizontal="centerContinuous"/>
    </xf>
    <xf numFmtId="1" fontId="39" fillId="2" borderId="0" xfId="8" applyNumberFormat="1" applyFont="1" applyFill="1" applyAlignment="1">
      <alignment horizontal="left"/>
    </xf>
    <xf numFmtId="0" fontId="8" fillId="2" borderId="0" xfId="8" applyFill="1"/>
    <xf numFmtId="1" fontId="96" fillId="2" borderId="0" xfId="8" applyNumberFormat="1" applyFont="1" applyFill="1"/>
    <xf numFmtId="3" fontId="30" fillId="3" borderId="14" xfId="2" applyNumberFormat="1" applyFont="1" applyFill="1" applyBorder="1" applyAlignment="1" applyProtection="1">
      <alignment horizontal="left" vertical="top" wrapText="1" indent="2"/>
    </xf>
    <xf numFmtId="3" fontId="18" fillId="3" borderId="2" xfId="2" applyNumberFormat="1" applyFont="1" applyFill="1" applyBorder="1" applyAlignment="1" applyProtection="1">
      <alignment horizontal="left" vertical="top" wrapText="1" indent="4"/>
    </xf>
    <xf numFmtId="1" fontId="19" fillId="3" borderId="41" xfId="2" quotePrefix="1" applyNumberFormat="1" applyFont="1" applyFill="1" applyBorder="1" applyAlignment="1" applyProtection="1">
      <alignment horizontal="center"/>
    </xf>
    <xf numFmtId="0" fontId="54" fillId="2" borderId="0" xfId="6" applyFont="1" applyFill="1" applyAlignment="1">
      <alignment horizontal="right" vertical="top"/>
    </xf>
    <xf numFmtId="0" fontId="6" fillId="2" borderId="0" xfId="0" applyFont="1" applyFill="1" applyAlignment="1">
      <alignment wrapText="1"/>
    </xf>
    <xf numFmtId="0" fontId="0" fillId="2" borderId="0" xfId="0" applyFill="1" applyAlignment="1">
      <alignment wrapText="1"/>
    </xf>
    <xf numFmtId="0" fontId="103" fillId="2" borderId="0" xfId="8" applyFont="1" applyFill="1" applyProtection="1">
      <protection locked="0"/>
    </xf>
    <xf numFmtId="0" fontId="12" fillId="3" borderId="18" xfId="0" applyFont="1" applyFill="1" applyBorder="1" applyAlignment="1">
      <alignment vertical="top"/>
    </xf>
    <xf numFmtId="0" fontId="12" fillId="3" borderId="16" xfId="0" applyFont="1" applyFill="1" applyBorder="1" applyAlignment="1">
      <alignment vertical="top"/>
    </xf>
    <xf numFmtId="0" fontId="55" fillId="0" borderId="112" xfId="5" applyFill="1" applyBorder="1" applyAlignment="1" applyProtection="1">
      <alignment horizontal="center" vertical="center"/>
      <protection locked="0"/>
    </xf>
    <xf numFmtId="170" fontId="0" fillId="0" borderId="1" xfId="0" applyNumberFormat="1" applyBorder="1" applyProtection="1">
      <protection locked="0"/>
    </xf>
    <xf numFmtId="1" fontId="18" fillId="2" borderId="14" xfId="2" applyNumberFormat="1" applyFont="1" applyFill="1" applyBorder="1" applyProtection="1"/>
    <xf numFmtId="1" fontId="15" fillId="2" borderId="2" xfId="2" applyNumberFormat="1" applyFont="1" applyFill="1" applyBorder="1" applyProtection="1"/>
    <xf numFmtId="0" fontId="0" fillId="0" borderId="1" xfId="0" applyBorder="1"/>
    <xf numFmtId="1" fontId="0" fillId="10" borderId="7" xfId="0" applyNumberFormat="1" applyFill="1" applyBorder="1"/>
    <xf numFmtId="3" fontId="15" fillId="0" borderId="0" xfId="2" applyNumberFormat="1" applyFont="1" applyFill="1" applyBorder="1" applyAlignment="1" applyProtection="1">
      <alignment horizontal="center"/>
      <protection locked="0"/>
    </xf>
    <xf numFmtId="3" fontId="30" fillId="11" borderId="0" xfId="2" applyNumberFormat="1" applyFont="1" applyFill="1" applyBorder="1" applyAlignment="1" applyProtection="1">
      <alignment horizontal="left"/>
    </xf>
    <xf numFmtId="3" fontId="15" fillId="11" borderId="0" xfId="2" applyNumberFormat="1" applyFont="1" applyFill="1" applyBorder="1" applyAlignment="1" applyProtection="1">
      <alignment horizontal="center"/>
      <protection locked="0"/>
    </xf>
    <xf numFmtId="3" fontId="18" fillId="11" borderId="0" xfId="2" applyNumberFormat="1" applyFont="1" applyFill="1" applyBorder="1" applyAlignment="1" applyProtection="1">
      <alignment horizontal="left"/>
    </xf>
    <xf numFmtId="0" fontId="0" fillId="11" borderId="0" xfId="0" applyFill="1"/>
    <xf numFmtId="0" fontId="9" fillId="11" borderId="0" xfId="0" applyFont="1" applyFill="1" applyAlignment="1">
      <alignment horizontal="center"/>
    </xf>
    <xf numFmtId="1" fontId="0" fillId="11" borderId="7" xfId="0" applyNumberFormat="1" applyFill="1" applyBorder="1"/>
    <xf numFmtId="0" fontId="0" fillId="11" borderId="0" xfId="0" applyFill="1" applyAlignment="1">
      <alignment horizontal="center" wrapText="1"/>
    </xf>
    <xf numFmtId="0" fontId="0" fillId="0" borderId="18" xfId="0" applyBorder="1" applyProtection="1">
      <protection locked="0"/>
    </xf>
    <xf numFmtId="3" fontId="104" fillId="2" borderId="0" xfId="2" applyNumberFormat="1" applyFont="1" applyFill="1" applyBorder="1" applyProtection="1"/>
    <xf numFmtId="0" fontId="57" fillId="0" borderId="0" xfId="0" applyFont="1"/>
    <xf numFmtId="1" fontId="0" fillId="11" borderId="0" xfId="0" applyNumberFormat="1" applyFill="1"/>
    <xf numFmtId="0" fontId="0" fillId="11" borderId="0" xfId="0" applyFill="1" applyAlignment="1">
      <alignment horizontal="right"/>
    </xf>
    <xf numFmtId="170" fontId="0" fillId="0" borderId="7" xfId="0" applyNumberFormat="1" applyBorder="1" applyAlignment="1" applyProtection="1">
      <alignment horizontal="left"/>
      <protection locked="0"/>
    </xf>
    <xf numFmtId="0" fontId="6" fillId="0" borderId="7" xfId="0" applyFont="1" applyBorder="1" applyProtection="1">
      <protection locked="0"/>
    </xf>
    <xf numFmtId="0" fontId="55" fillId="0" borderId="7" xfId="5" applyBorder="1" applyAlignment="1" applyProtection="1">
      <protection locked="0"/>
    </xf>
    <xf numFmtId="3" fontId="18" fillId="0" borderId="4" xfId="2" applyNumberFormat="1" applyFont="1" applyFill="1" applyBorder="1" applyAlignment="1" applyProtection="1">
      <alignment horizontal="left" indent="2"/>
      <protection locked="0"/>
    </xf>
    <xf numFmtId="0" fontId="57" fillId="11" borderId="0" xfId="0" applyFont="1" applyFill="1"/>
    <xf numFmtId="0" fontId="15" fillId="3" borderId="1" xfId="2" applyNumberFormat="1" applyFont="1" applyFill="1" applyBorder="1" applyAlignment="1" applyProtection="1">
      <alignment horizontal="left"/>
    </xf>
    <xf numFmtId="0" fontId="99" fillId="3" borderId="93" xfId="0" applyFont="1" applyFill="1" applyBorder="1" applyAlignment="1">
      <alignment horizontal="left" vertical="top" wrapText="1"/>
    </xf>
    <xf numFmtId="0" fontId="40" fillId="0" borderId="93" xfId="0" applyFont="1" applyBorder="1" applyAlignment="1">
      <alignment horizontal="left" vertical="top" wrapText="1"/>
    </xf>
    <xf numFmtId="0" fontId="99" fillId="3" borderId="0" xfId="0" applyFont="1" applyFill="1" applyAlignment="1">
      <alignment horizontal="left" wrapText="1"/>
    </xf>
    <xf numFmtId="0" fontId="40" fillId="0" borderId="0" xfId="0" applyFont="1" applyAlignment="1">
      <alignment horizontal="left" wrapText="1"/>
    </xf>
    <xf numFmtId="0" fontId="9" fillId="3" borderId="0" xfId="0" applyFont="1" applyFill="1" applyAlignment="1" applyProtection="1">
      <alignment horizontal="left" vertical="top" wrapText="1"/>
      <protection locked="0"/>
    </xf>
    <xf numFmtId="0" fontId="9" fillId="3" borderId="0" xfId="0" applyFont="1" applyFill="1" applyAlignment="1" applyProtection="1">
      <alignment horizontal="left" vertical="center" wrapText="1"/>
      <protection locked="0"/>
    </xf>
    <xf numFmtId="0" fontId="58" fillId="2" borderId="18" xfId="0" applyFont="1" applyFill="1" applyBorder="1" applyAlignment="1">
      <alignment horizontal="center" vertical="center"/>
    </xf>
    <xf numFmtId="0" fontId="58" fillId="2" borderId="11" xfId="0" applyFont="1" applyFill="1" applyBorder="1" applyAlignment="1">
      <alignment horizontal="center" vertical="center"/>
    </xf>
    <xf numFmtId="0" fontId="93" fillId="3" borderId="0" xfId="0" applyFont="1" applyFill="1" applyAlignment="1" applyProtection="1">
      <alignment horizontal="left" vertical="center" wrapText="1"/>
      <protection locked="0"/>
    </xf>
    <xf numFmtId="0" fontId="94" fillId="3" borderId="0" xfId="0" applyFont="1" applyFill="1" applyAlignment="1" applyProtection="1">
      <alignment horizontal="center"/>
      <protection locked="0"/>
    </xf>
    <xf numFmtId="0" fontId="0" fillId="0" borderId="16" xfId="0" applyBorder="1" applyAlignment="1">
      <alignment wrapText="1"/>
    </xf>
    <xf numFmtId="0" fontId="4" fillId="3" borderId="0" xfId="0" applyFont="1" applyFill="1" applyAlignment="1" applyProtection="1">
      <alignment horizontal="center"/>
      <protection locked="0"/>
    </xf>
    <xf numFmtId="171" fontId="56" fillId="2" borderId="18" xfId="0" applyNumberFormat="1" applyFont="1" applyFill="1" applyBorder="1" applyAlignment="1" applyProtection="1">
      <alignment horizontal="left"/>
      <protection locked="0"/>
    </xf>
    <xf numFmtId="171" fontId="56" fillId="2" borderId="11" xfId="0" applyNumberFormat="1" applyFont="1" applyFill="1" applyBorder="1" applyAlignment="1" applyProtection="1">
      <alignment horizontal="left"/>
      <protection locked="0"/>
    </xf>
    <xf numFmtId="0" fontId="0" fillId="3" borderId="0" xfId="0" applyFill="1" applyAlignment="1" applyProtection="1">
      <alignment vertical="top" wrapText="1"/>
      <protection locked="0"/>
    </xf>
    <xf numFmtId="0" fontId="0" fillId="0" borderId="0" xfId="0" applyAlignment="1">
      <alignment vertical="top" wrapText="1"/>
    </xf>
    <xf numFmtId="170" fontId="0" fillId="2" borderId="18" xfId="0" applyNumberFormat="1" applyFill="1" applyBorder="1" applyAlignment="1" applyProtection="1">
      <alignment horizontal="left"/>
      <protection locked="0"/>
    </xf>
    <xf numFmtId="170" fontId="0" fillId="0" borderId="11" xfId="0" applyNumberFormat="1" applyBorder="1" applyAlignment="1" applyProtection="1">
      <alignment horizontal="left"/>
      <protection locked="0"/>
    </xf>
    <xf numFmtId="0" fontId="0" fillId="2" borderId="18" xfId="0" applyFill="1" applyBorder="1" applyAlignment="1" applyProtection="1">
      <alignment horizontal="left"/>
      <protection locked="0"/>
    </xf>
    <xf numFmtId="0" fontId="0" fillId="0" borderId="11" xfId="0" applyBorder="1" applyAlignment="1" applyProtection="1">
      <alignment horizontal="left"/>
      <protection locked="0"/>
    </xf>
    <xf numFmtId="0" fontId="7" fillId="3" borderId="0" xfId="0" applyFont="1" applyFill="1" applyAlignment="1" applyProtection="1">
      <alignment horizontal="left" vertical="center" wrapText="1"/>
      <protection locked="0"/>
    </xf>
    <xf numFmtId="1" fontId="86" fillId="0" borderId="8" xfId="2" applyNumberFormat="1" applyFont="1" applyFill="1" applyBorder="1" applyAlignment="1" applyProtection="1">
      <alignment horizontal="center"/>
    </xf>
    <xf numFmtId="0" fontId="87" fillId="0" borderId="5" xfId="0" applyFont="1" applyBorder="1" applyAlignment="1">
      <alignment horizontal="center"/>
    </xf>
    <xf numFmtId="1" fontId="86" fillId="0" borderId="5" xfId="2" quotePrefix="1" applyNumberFormat="1" applyFont="1" applyFill="1" applyBorder="1" applyAlignment="1" applyProtection="1">
      <alignment horizontal="center"/>
    </xf>
    <xf numFmtId="1" fontId="31" fillId="6" borderId="17" xfId="2" applyNumberFormat="1" applyFont="1" applyFill="1" applyBorder="1" applyAlignment="1" applyProtection="1">
      <alignment horizontal="center"/>
    </xf>
    <xf numFmtId="1" fontId="31" fillId="6" borderId="14" xfId="2" applyNumberFormat="1" applyFont="1" applyFill="1" applyBorder="1" applyAlignment="1" applyProtection="1">
      <alignment horizontal="center"/>
    </xf>
    <xf numFmtId="1" fontId="31" fillId="6" borderId="15" xfId="2" applyNumberFormat="1" applyFont="1" applyFill="1" applyBorder="1" applyAlignment="1" applyProtection="1">
      <alignment horizontal="center"/>
    </xf>
    <xf numFmtId="170" fontId="18" fillId="2" borderId="6" xfId="2" applyNumberFormat="1" applyFont="1" applyFill="1" applyBorder="1" applyAlignment="1" applyProtection="1">
      <alignment horizontal="left"/>
      <protection locked="0"/>
    </xf>
    <xf numFmtId="1" fontId="16" fillId="3" borderId="17" xfId="2" applyNumberFormat="1" applyFont="1" applyFill="1" applyBorder="1" applyAlignment="1" applyProtection="1">
      <alignment horizontal="center"/>
    </xf>
    <xf numFmtId="1" fontId="16" fillId="3" borderId="15" xfId="2" applyNumberFormat="1" applyFont="1" applyFill="1" applyBorder="1" applyAlignment="1" applyProtection="1">
      <alignment horizontal="center"/>
    </xf>
    <xf numFmtId="1" fontId="16" fillId="3" borderId="9" xfId="2" applyNumberFormat="1" applyFont="1" applyFill="1" applyBorder="1" applyAlignment="1" applyProtection="1">
      <alignment horizontal="center"/>
    </xf>
    <xf numFmtId="1" fontId="16" fillId="3" borderId="3" xfId="2" applyNumberFormat="1" applyFont="1" applyFill="1" applyBorder="1" applyAlignment="1" applyProtection="1">
      <alignment horizontal="center"/>
    </xf>
    <xf numFmtId="1" fontId="16" fillId="3" borderId="10" xfId="2" applyNumberFormat="1" applyFont="1" applyFill="1" applyBorder="1" applyAlignment="1" applyProtection="1">
      <alignment horizontal="center"/>
    </xf>
    <xf numFmtId="1" fontId="16" fillId="3" borderId="12" xfId="2" applyNumberFormat="1" applyFont="1" applyFill="1" applyBorder="1" applyAlignment="1" applyProtection="1">
      <alignment horizontal="center"/>
    </xf>
    <xf numFmtId="1" fontId="59" fillId="0" borderId="8" xfId="2" applyNumberFormat="1" applyFont="1" applyFill="1" applyBorder="1" applyAlignment="1" applyProtection="1">
      <alignment horizontal="center"/>
    </xf>
    <xf numFmtId="0" fontId="91" fillId="0" borderId="5" xfId="0" applyFont="1" applyBorder="1" applyAlignment="1">
      <alignment horizontal="center"/>
    </xf>
    <xf numFmtId="1" fontId="22" fillId="0" borderId="8" xfId="2" applyNumberFormat="1" applyFont="1" applyFill="1" applyBorder="1" applyAlignment="1" applyProtection="1">
      <alignment horizontal="center"/>
    </xf>
    <xf numFmtId="0" fontId="23" fillId="0" borderId="5" xfId="0" applyFont="1" applyBorder="1" applyAlignment="1">
      <alignment horizontal="center"/>
    </xf>
    <xf numFmtId="1" fontId="22" fillId="0" borderId="5" xfId="2" quotePrefix="1" applyNumberFormat="1" applyFont="1" applyFill="1" applyBorder="1" applyAlignment="1" applyProtection="1">
      <alignment horizontal="center"/>
    </xf>
    <xf numFmtId="1" fontId="22" fillId="0" borderId="8" xfId="2" applyNumberFormat="1" applyFont="1" applyFill="1" applyBorder="1" applyAlignment="1" applyProtection="1">
      <alignment horizontal="center" wrapText="1"/>
    </xf>
    <xf numFmtId="0" fontId="23" fillId="0" borderId="5" xfId="0" applyFont="1" applyBorder="1" applyAlignment="1">
      <alignment horizontal="center" wrapText="1"/>
    </xf>
    <xf numFmtId="1" fontId="68" fillId="0" borderId="8" xfId="2" applyNumberFormat="1" applyFont="1" applyFill="1" applyBorder="1" applyAlignment="1" applyProtection="1">
      <alignment horizontal="center"/>
    </xf>
    <xf numFmtId="0" fontId="92" fillId="0" borderId="5" xfId="0" applyFont="1" applyBorder="1" applyAlignment="1">
      <alignment horizontal="center"/>
    </xf>
    <xf numFmtId="1" fontId="78" fillId="0" borderId="8" xfId="2" applyNumberFormat="1" applyFont="1" applyFill="1" applyBorder="1" applyAlignment="1" applyProtection="1">
      <alignment horizontal="center"/>
    </xf>
    <xf numFmtId="0" fontId="79" fillId="0" borderId="5" xfId="0" applyFont="1" applyBorder="1" applyAlignment="1">
      <alignment horizontal="center"/>
    </xf>
    <xf numFmtId="1" fontId="59" fillId="0" borderId="5" xfId="2" quotePrefix="1" applyNumberFormat="1" applyFont="1" applyFill="1" applyBorder="1" applyAlignment="1" applyProtection="1">
      <alignment horizontal="center"/>
    </xf>
    <xf numFmtId="1" fontId="68" fillId="0" borderId="8" xfId="2" applyNumberFormat="1" applyFont="1" applyFill="1" applyBorder="1" applyAlignment="1" applyProtection="1">
      <alignment horizontal="center" wrapText="1"/>
    </xf>
    <xf numFmtId="0" fontId="92" fillId="0" borderId="5" xfId="0" applyFont="1" applyBorder="1" applyAlignment="1">
      <alignment horizontal="center" wrapText="1"/>
    </xf>
    <xf numFmtId="1" fontId="78" fillId="0" borderId="8" xfId="2" applyNumberFormat="1" applyFont="1" applyFill="1" applyBorder="1" applyAlignment="1" applyProtection="1">
      <alignment horizontal="center" wrapText="1"/>
    </xf>
    <xf numFmtId="0" fontId="0" fillId="0" borderId="5" xfId="0" applyBorder="1" applyAlignment="1">
      <alignment wrapText="1"/>
    </xf>
    <xf numFmtId="170" fontId="18" fillId="2" borderId="6" xfId="2" applyNumberFormat="1" applyFont="1" applyFill="1" applyBorder="1" applyAlignment="1" applyProtection="1">
      <alignment horizontal="left"/>
    </xf>
    <xf numFmtId="1" fontId="69" fillId="7" borderId="102" xfId="2" applyNumberFormat="1" applyFont="1" applyFill="1" applyBorder="1" applyAlignment="1" applyProtection="1">
      <alignment horizontal="center" wrapText="1"/>
    </xf>
    <xf numFmtId="0" fontId="69" fillId="7" borderId="93" xfId="0" applyFont="1" applyFill="1" applyBorder="1" applyAlignment="1">
      <alignment horizontal="center" wrapText="1"/>
    </xf>
    <xf numFmtId="0" fontId="69" fillId="7" borderId="103" xfId="0" applyFont="1" applyFill="1" applyBorder="1" applyAlignment="1">
      <alignment horizontal="center" wrapText="1"/>
    </xf>
    <xf numFmtId="0" fontId="69" fillId="7" borderId="53" xfId="0" applyFont="1" applyFill="1" applyBorder="1" applyAlignment="1">
      <alignment horizontal="center" wrapText="1"/>
    </xf>
    <xf numFmtId="0" fontId="69" fillId="7" borderId="0" xfId="0" applyFont="1" applyFill="1" applyAlignment="1">
      <alignment horizontal="center" wrapText="1"/>
    </xf>
    <xf numFmtId="0" fontId="69" fillId="7" borderId="98" xfId="0" applyFont="1" applyFill="1" applyBorder="1" applyAlignment="1">
      <alignment horizontal="center" wrapText="1"/>
    </xf>
    <xf numFmtId="0" fontId="69" fillId="7" borderId="113" xfId="0" applyFont="1" applyFill="1" applyBorder="1" applyAlignment="1">
      <alignment horizontal="center" wrapText="1"/>
    </xf>
    <xf numFmtId="0" fontId="69" fillId="7" borderId="87" xfId="0" applyFont="1" applyFill="1" applyBorder="1" applyAlignment="1">
      <alignment horizontal="center" wrapText="1"/>
    </xf>
    <xf numFmtId="0" fontId="69" fillId="7" borderId="114" xfId="0" applyFont="1" applyFill="1" applyBorder="1" applyAlignment="1">
      <alignment horizontal="center" wrapText="1"/>
    </xf>
    <xf numFmtId="1" fontId="89" fillId="3" borderId="18" xfId="2" applyNumberFormat="1" applyFont="1" applyFill="1" applyBorder="1" applyAlignment="1" applyProtection="1">
      <alignment horizontal="left" indent="4"/>
    </xf>
    <xf numFmtId="0" fontId="0" fillId="0" borderId="16" xfId="0" applyBorder="1" applyAlignment="1">
      <alignment horizontal="left" indent="4"/>
    </xf>
    <xf numFmtId="0" fontId="0" fillId="0" borderId="11" xfId="0" applyBorder="1" applyAlignment="1">
      <alignment horizontal="left" indent="4"/>
    </xf>
    <xf numFmtId="0" fontId="67" fillId="0" borderId="5" xfId="0" applyFont="1" applyBorder="1" applyAlignment="1">
      <alignment horizontal="center"/>
    </xf>
    <xf numFmtId="0" fontId="18" fillId="2" borderId="13" xfId="2" applyNumberFormat="1" applyFont="1" applyFill="1" applyBorder="1" applyAlignment="1" applyProtection="1">
      <alignment horizontal="left"/>
    </xf>
    <xf numFmtId="1" fontId="42" fillId="0" borderId="5" xfId="2" applyNumberFormat="1" applyFont="1" applyFill="1" applyBorder="1" applyAlignment="1" applyProtection="1">
      <alignment horizontal="center" vertical="top" wrapText="1"/>
    </xf>
    <xf numFmtId="0" fontId="5" fillId="0" borderId="4" xfId="0" applyFont="1" applyBorder="1" applyAlignment="1">
      <alignment vertical="top" wrapText="1"/>
    </xf>
    <xf numFmtId="1" fontId="75" fillId="7" borderId="102" xfId="2" applyNumberFormat="1" applyFont="1" applyFill="1" applyBorder="1" applyAlignment="1" applyProtection="1"/>
    <xf numFmtId="1" fontId="75" fillId="7" borderId="113" xfId="2" applyNumberFormat="1" applyFont="1" applyFill="1" applyBorder="1" applyAlignment="1" applyProtection="1"/>
    <xf numFmtId="1" fontId="76" fillId="7" borderId="93" xfId="2" quotePrefix="1" applyNumberFormat="1" applyFont="1" applyFill="1" applyBorder="1" applyAlignment="1" applyProtection="1">
      <alignment horizontal="center"/>
    </xf>
    <xf numFmtId="1" fontId="76" fillId="7" borderId="103" xfId="2" quotePrefix="1" applyNumberFormat="1" applyFont="1" applyFill="1" applyBorder="1" applyAlignment="1" applyProtection="1">
      <alignment horizontal="center"/>
    </xf>
    <xf numFmtId="1" fontId="76" fillId="7" borderId="87" xfId="2" quotePrefix="1" applyNumberFormat="1" applyFont="1" applyFill="1" applyBorder="1" applyAlignment="1" applyProtection="1">
      <alignment horizontal="center"/>
    </xf>
    <xf numFmtId="1" fontId="76" fillId="7" borderId="114" xfId="2" quotePrefix="1" applyNumberFormat="1" applyFont="1" applyFill="1" applyBorder="1" applyAlignment="1" applyProtection="1">
      <alignment horizontal="center"/>
    </xf>
    <xf numFmtId="1" fontId="89" fillId="3" borderId="18" xfId="2" applyNumberFormat="1" applyFont="1" applyFill="1" applyBorder="1" applyAlignment="1" applyProtection="1">
      <alignment horizontal="left" wrapText="1"/>
    </xf>
    <xf numFmtId="0" fontId="0" fillId="0" borderId="11" xfId="0" applyBorder="1" applyAlignment="1">
      <alignment wrapText="1"/>
    </xf>
    <xf numFmtId="1" fontId="70" fillId="0" borderId="5" xfId="2" quotePrefix="1" applyNumberFormat="1" applyFont="1" applyFill="1" applyBorder="1" applyAlignment="1" applyProtection="1">
      <alignment horizontal="center" vertical="top" wrapText="1"/>
    </xf>
    <xf numFmtId="3" fontId="29" fillId="3" borderId="56" xfId="2" applyNumberFormat="1" applyFont="1" applyFill="1" applyBorder="1" applyAlignment="1" applyProtection="1">
      <alignment horizontal="left" textRotation="45"/>
    </xf>
    <xf numFmtId="0" fontId="4" fillId="0" borderId="34" xfId="0" applyFont="1" applyBorder="1" applyAlignment="1">
      <alignment horizontal="left" textRotation="45"/>
    </xf>
    <xf numFmtId="170" fontId="15" fillId="2" borderId="6" xfId="2" applyNumberFormat="1" applyFont="1" applyFill="1" applyBorder="1" applyAlignment="1" applyProtection="1">
      <alignment horizontal="left"/>
      <protection locked="0"/>
    </xf>
    <xf numFmtId="3" fontId="20" fillId="3" borderId="10" xfId="2" applyNumberFormat="1" applyFont="1" applyFill="1" applyBorder="1" applyAlignment="1" applyProtection="1">
      <alignment horizontal="center"/>
      <protection locked="0"/>
    </xf>
    <xf numFmtId="3" fontId="20" fillId="3" borderId="12" xfId="2" applyNumberFormat="1" applyFont="1" applyFill="1" applyBorder="1" applyAlignment="1" applyProtection="1">
      <alignment horizontal="center"/>
      <protection locked="0"/>
    </xf>
    <xf numFmtId="3" fontId="65" fillId="2" borderId="0" xfId="2" applyNumberFormat="1" applyFont="1" applyFill="1" applyBorder="1" applyAlignment="1" applyProtection="1">
      <alignment horizontal="center" vertical="center" wrapText="1"/>
      <protection locked="0"/>
    </xf>
    <xf numFmtId="0" fontId="65" fillId="0" borderId="0" xfId="0" applyFont="1" applyAlignment="1">
      <alignment horizontal="center" vertical="center" wrapText="1"/>
    </xf>
    <xf numFmtId="1" fontId="76" fillId="2" borderId="0" xfId="4" applyNumberFormat="1" applyFont="1" applyFill="1" applyBorder="1" applyAlignment="1" applyProtection="1">
      <alignment horizontal="center"/>
      <protection locked="0"/>
    </xf>
    <xf numFmtId="0" fontId="0" fillId="0" borderId="6" xfId="0" applyBorder="1" applyAlignment="1">
      <alignment horizontal="left" wrapText="1"/>
    </xf>
    <xf numFmtId="0" fontId="0" fillId="0" borderId="115" xfId="0" applyBorder="1" applyAlignment="1">
      <alignment horizontal="left" wrapText="1"/>
    </xf>
    <xf numFmtId="0" fontId="3" fillId="2" borderId="0" xfId="6" applyFill="1" applyAlignment="1" applyProtection="1">
      <alignment wrapText="1"/>
      <protection locked="0"/>
    </xf>
    <xf numFmtId="0" fontId="0" fillId="0" borderId="0" xfId="0" applyAlignment="1">
      <alignment wrapText="1"/>
    </xf>
    <xf numFmtId="0" fontId="0" fillId="0" borderId="0" xfId="0" applyAlignment="1">
      <alignment horizontal="left" wrapText="1" indent="2"/>
    </xf>
    <xf numFmtId="0" fontId="0" fillId="2" borderId="0" xfId="6" applyFont="1" applyFill="1" applyAlignment="1" applyProtection="1">
      <alignment horizontal="left" vertical="top" wrapText="1"/>
      <protection locked="0"/>
    </xf>
    <xf numFmtId="0" fontId="3" fillId="2" borderId="0" xfId="6" applyFill="1" applyAlignment="1" applyProtection="1">
      <alignment horizontal="left" vertical="top" wrapText="1"/>
      <protection locked="0"/>
    </xf>
    <xf numFmtId="0" fontId="3" fillId="2" borderId="3" xfId="6" applyFill="1" applyBorder="1" applyAlignment="1" applyProtection="1">
      <alignment horizontal="left" vertical="top" wrapText="1"/>
      <protection locked="0"/>
    </xf>
    <xf numFmtId="0" fontId="0" fillId="2" borderId="0" xfId="6" applyFont="1" applyFill="1" applyAlignment="1" applyProtection="1">
      <alignment horizontal="left" vertical="center" wrapText="1"/>
      <protection locked="0"/>
    </xf>
    <xf numFmtId="0" fontId="0" fillId="0" borderId="0" xfId="0" applyAlignment="1" applyProtection="1">
      <alignment horizontal="left" vertical="center" wrapText="1"/>
      <protection locked="0"/>
    </xf>
    <xf numFmtId="3" fontId="28" fillId="2" borderId="0" xfId="6" applyNumberFormat="1" applyFont="1" applyFill="1" applyAlignment="1" applyProtection="1">
      <alignment horizontal="left" vertical="center" wrapText="1"/>
      <protection locked="0"/>
    </xf>
    <xf numFmtId="0" fontId="0" fillId="0" borderId="0" xfId="0" applyAlignment="1">
      <alignment vertical="center" wrapText="1"/>
    </xf>
    <xf numFmtId="3" fontId="3" fillId="2" borderId="0" xfId="6" applyNumberFormat="1" applyFill="1" applyAlignment="1" applyProtection="1">
      <alignment wrapText="1"/>
      <protection locked="0"/>
    </xf>
    <xf numFmtId="1" fontId="38" fillId="2" borderId="0" xfId="6" applyNumberFormat="1" applyFont="1" applyFill="1" applyAlignment="1" applyProtection="1">
      <alignment horizontal="center" wrapText="1"/>
      <protection locked="0"/>
    </xf>
    <xf numFmtId="0" fontId="0" fillId="0" borderId="0" xfId="0" applyAlignment="1">
      <alignment horizontal="center" wrapText="1"/>
    </xf>
    <xf numFmtId="0" fontId="38" fillId="2" borderId="0" xfId="6" applyFont="1" applyFill="1" applyAlignment="1" applyProtection="1">
      <alignment horizontal="center" wrapText="1"/>
      <protection locked="0"/>
    </xf>
    <xf numFmtId="0" fontId="0" fillId="2" borderId="0" xfId="6" applyFont="1" applyFill="1" applyAlignment="1" applyProtection="1">
      <alignment vertical="top" wrapText="1"/>
      <protection locked="0"/>
    </xf>
    <xf numFmtId="3" fontId="16" fillId="3" borderId="47" xfId="2" applyNumberFormat="1" applyFont="1" applyFill="1" applyBorder="1" applyAlignment="1" applyProtection="1">
      <alignment horizontal="center"/>
    </xf>
    <xf numFmtId="3" fontId="16" fillId="3" borderId="12" xfId="2" applyNumberFormat="1" applyFont="1" applyFill="1" applyBorder="1" applyAlignment="1" applyProtection="1">
      <alignment horizontal="center"/>
    </xf>
    <xf numFmtId="3" fontId="80" fillId="2" borderId="9" xfId="4" applyNumberFormat="1" applyFont="1" applyFill="1" applyBorder="1" applyAlignment="1" applyProtection="1">
      <alignment horizontal="center" vertical="center" textRotation="90"/>
    </xf>
    <xf numFmtId="0" fontId="81" fillId="0" borderId="9" xfId="0" applyFont="1" applyBorder="1" applyAlignment="1">
      <alignment horizontal="center" vertical="center"/>
    </xf>
    <xf numFmtId="3" fontId="41" fillId="2" borderId="0" xfId="2" applyNumberFormat="1" applyFont="1" applyFill="1" applyBorder="1" applyAlignment="1" applyProtection="1">
      <alignment horizontal="center" vertical="center"/>
    </xf>
    <xf numFmtId="0" fontId="43" fillId="0" borderId="0" xfId="0" applyFont="1" applyAlignment="1">
      <alignment horizontal="center" vertical="center"/>
    </xf>
    <xf numFmtId="3" fontId="44" fillId="3" borderId="113" xfId="2" applyNumberFormat="1" applyFont="1" applyFill="1" applyBorder="1" applyAlignment="1" applyProtection="1">
      <alignment horizontal="center"/>
    </xf>
    <xf numFmtId="0" fontId="44" fillId="3" borderId="87" xfId="0" applyFont="1" applyFill="1" applyBorder="1" applyAlignment="1">
      <alignment horizontal="center"/>
    </xf>
    <xf numFmtId="0" fontId="44" fillId="3" borderId="114" xfId="0" applyFont="1" applyFill="1" applyBorder="1" applyAlignment="1">
      <alignment horizontal="center"/>
    </xf>
    <xf numFmtId="3" fontId="44" fillId="3" borderId="102" xfId="2" applyNumberFormat="1" applyFont="1" applyFill="1" applyBorder="1" applyAlignment="1" applyProtection="1">
      <alignment horizontal="center"/>
    </xf>
    <xf numFmtId="0" fontId="44" fillId="3" borderId="93" xfId="0" applyFont="1" applyFill="1" applyBorder="1" applyAlignment="1">
      <alignment horizontal="center"/>
    </xf>
    <xf numFmtId="0" fontId="44" fillId="3" borderId="103" xfId="0" applyFont="1" applyFill="1" applyBorder="1" applyAlignment="1">
      <alignment horizontal="center"/>
    </xf>
    <xf numFmtId="3" fontId="44" fillId="9" borderId="113" xfId="2" applyNumberFormat="1" applyFont="1" applyFill="1" applyBorder="1" applyAlignment="1" applyProtection="1">
      <alignment horizontal="center"/>
    </xf>
    <xf numFmtId="0" fontId="44" fillId="9" borderId="87" xfId="0" applyFont="1" applyFill="1" applyBorder="1" applyAlignment="1">
      <alignment horizontal="center"/>
    </xf>
    <xf numFmtId="0" fontId="44" fillId="9" borderId="114" xfId="0" applyFont="1" applyFill="1" applyBorder="1" applyAlignment="1">
      <alignment horizontal="center"/>
    </xf>
    <xf numFmtId="3" fontId="76" fillId="2" borderId="0" xfId="4" quotePrefix="1" applyNumberFormat="1" applyFont="1" applyFill="1" applyBorder="1" applyAlignment="1" applyProtection="1">
      <alignment horizontal="center"/>
    </xf>
    <xf numFmtId="3" fontId="80" fillId="2" borderId="0" xfId="4" applyNumberFormat="1" applyFont="1" applyFill="1" applyBorder="1" applyAlignment="1" applyProtection="1">
      <alignment horizontal="center"/>
    </xf>
    <xf numFmtId="3" fontId="82" fillId="2" borderId="116" xfId="4" applyNumberFormat="1" applyFont="1" applyFill="1" applyBorder="1" applyAlignment="1" applyProtection="1">
      <alignment horizontal="center" vertical="center" textRotation="90"/>
    </xf>
    <xf numFmtId="0" fontId="84" fillId="0" borderId="116" xfId="0" applyFont="1" applyBorder="1" applyAlignment="1">
      <alignment horizontal="center" vertical="center"/>
    </xf>
    <xf numFmtId="3" fontId="65" fillId="2" borderId="0" xfId="2" applyNumberFormat="1" applyFont="1" applyFill="1" applyBorder="1" applyAlignment="1" applyProtection="1">
      <alignment horizontal="center" vertical="center"/>
    </xf>
    <xf numFmtId="0" fontId="85" fillId="0" borderId="0" xfId="0" applyFont="1" applyAlignment="1">
      <alignment horizontal="center" vertical="center"/>
    </xf>
    <xf numFmtId="3" fontId="44" fillId="3" borderId="87" xfId="2" applyNumberFormat="1" applyFont="1" applyFill="1" applyBorder="1" applyAlignment="1" applyProtection="1">
      <alignment horizontal="center"/>
    </xf>
    <xf numFmtId="3" fontId="44" fillId="3" borderId="93" xfId="2" applyNumberFormat="1" applyFont="1" applyFill="1" applyBorder="1" applyAlignment="1" applyProtection="1">
      <alignment horizontal="center"/>
    </xf>
    <xf numFmtId="3" fontId="83" fillId="2" borderId="0" xfId="4" applyNumberFormat="1" applyFont="1" applyFill="1" applyBorder="1" applyAlignment="1" applyProtection="1">
      <alignment horizontal="center"/>
    </xf>
    <xf numFmtId="3" fontId="82" fillId="2" borderId="0" xfId="4" applyNumberFormat="1" applyFont="1" applyFill="1" applyBorder="1" applyAlignment="1" applyProtection="1">
      <alignment horizontal="center" vertical="center" textRotation="90"/>
    </xf>
    <xf numFmtId="3" fontId="16" fillId="3" borderId="2" xfId="2" applyNumberFormat="1" applyFont="1" applyFill="1" applyBorder="1" applyAlignment="1" applyProtection="1">
      <alignment horizontal="center"/>
    </xf>
    <xf numFmtId="3" fontId="16" fillId="3" borderId="14" xfId="2" applyNumberFormat="1" applyFont="1" applyFill="1" applyBorder="1" applyAlignment="1" applyProtection="1">
      <alignment horizontal="center"/>
    </xf>
    <xf numFmtId="3" fontId="16" fillId="3" borderId="15" xfId="2" applyNumberFormat="1" applyFont="1" applyFill="1" applyBorder="1" applyAlignment="1" applyProtection="1">
      <alignment horizontal="center"/>
    </xf>
    <xf numFmtId="3" fontId="16" fillId="3" borderId="0" xfId="2" applyNumberFormat="1" applyFont="1" applyFill="1" applyBorder="1" applyAlignment="1" applyProtection="1">
      <alignment horizontal="center"/>
    </xf>
    <xf numFmtId="3" fontId="16" fillId="3" borderId="3" xfId="2" applyNumberFormat="1" applyFont="1" applyFill="1" applyBorder="1" applyAlignment="1" applyProtection="1">
      <alignment horizontal="center"/>
    </xf>
    <xf numFmtId="1" fontId="18" fillId="3" borderId="6" xfId="2" applyNumberFormat="1" applyFont="1" applyFill="1" applyBorder="1" applyAlignment="1" applyProtection="1">
      <alignment horizontal="left"/>
    </xf>
    <xf numFmtId="164" fontId="31" fillId="2" borderId="0" xfId="4" applyFont="1" applyFill="1" applyAlignment="1" applyProtection="1">
      <alignment horizontal="center"/>
      <protection locked="0"/>
    </xf>
    <xf numFmtId="1" fontId="31" fillId="0" borderId="0" xfId="2" applyNumberFormat="1" applyFont="1" applyFill="1" applyBorder="1" applyAlignment="1" applyProtection="1">
      <alignment horizontal="center"/>
      <protection locked="0"/>
    </xf>
    <xf numFmtId="1" fontId="59" fillId="0" borderId="9" xfId="2" applyNumberFormat="1" applyFont="1" applyFill="1" applyBorder="1" applyAlignment="1" applyProtection="1">
      <alignment horizontal="center"/>
    </xf>
    <xf numFmtId="0" fontId="59" fillId="0" borderId="9" xfId="0" applyFont="1" applyBorder="1" applyAlignment="1">
      <alignment horizontal="center"/>
    </xf>
    <xf numFmtId="1" fontId="18" fillId="0" borderId="9" xfId="2" quotePrefix="1" applyNumberFormat="1" applyFont="1" applyFill="1" applyBorder="1" applyAlignment="1" applyProtection="1">
      <alignment vertical="top" wrapText="1"/>
    </xf>
    <xf numFmtId="1" fontId="18" fillId="0" borderId="3" xfId="2" applyNumberFormat="1" applyFont="1" applyFill="1" applyBorder="1" applyAlignment="1" applyProtection="1">
      <alignment vertical="top" wrapText="1"/>
    </xf>
    <xf numFmtId="1" fontId="18" fillId="0" borderId="9" xfId="2" applyNumberFormat="1" applyFont="1" applyFill="1" applyBorder="1" applyAlignment="1" applyProtection="1">
      <alignment vertical="top" wrapText="1"/>
    </xf>
    <xf numFmtId="1" fontId="50" fillId="0" borderId="9" xfId="2" applyNumberFormat="1" applyFont="1" applyFill="1" applyBorder="1" applyAlignment="1" applyProtection="1">
      <alignment vertical="center"/>
    </xf>
    <xf numFmtId="0" fontId="51" fillId="0" borderId="3" xfId="0" applyFont="1" applyBorder="1" applyAlignment="1">
      <alignment vertical="center"/>
    </xf>
    <xf numFmtId="0" fontId="51" fillId="0" borderId="10" xfId="0" applyFont="1" applyBorder="1" applyAlignment="1">
      <alignment vertical="center"/>
    </xf>
    <xf numFmtId="0" fontId="51" fillId="0" borderId="12" xfId="0" applyFont="1" applyBorder="1" applyAlignment="1">
      <alignment vertical="center"/>
    </xf>
    <xf numFmtId="164" fontId="76" fillId="2" borderId="0" xfId="4" applyFont="1" applyFill="1" applyAlignment="1" applyProtection="1">
      <alignment horizontal="center"/>
      <protection locked="0"/>
    </xf>
    <xf numFmtId="41" fontId="21" fillId="3" borderId="18" xfId="2" applyFont="1" applyFill="1" applyBorder="1" applyAlignment="1" applyProtection="1">
      <alignment horizontal="left" wrapText="1"/>
    </xf>
    <xf numFmtId="0" fontId="0" fillId="0" borderId="11" xfId="0" applyBorder="1" applyAlignment="1">
      <alignment horizontal="left" wrapText="1"/>
    </xf>
    <xf numFmtId="14" fontId="52" fillId="0" borderId="6" xfId="0" applyNumberFormat="1" applyFont="1" applyBorder="1" applyAlignment="1" applyProtection="1">
      <alignment horizontal="left"/>
      <protection locked="0"/>
    </xf>
    <xf numFmtId="14" fontId="6" fillId="0" borderId="6" xfId="0" applyNumberFormat="1" applyFont="1" applyBorder="1" applyAlignment="1" applyProtection="1">
      <alignment horizontal="left"/>
      <protection locked="0"/>
    </xf>
    <xf numFmtId="41" fontId="61" fillId="0" borderId="0" xfId="2" applyFont="1" applyFill="1" applyBorder="1" applyAlignment="1" applyProtection="1">
      <alignment horizontal="center" wrapText="1"/>
    </xf>
    <xf numFmtId="0" fontId="61" fillId="0" borderId="0" xfId="0" applyFont="1" applyAlignment="1">
      <alignment wrapText="1"/>
    </xf>
    <xf numFmtId="0" fontId="3" fillId="0" borderId="0" xfId="9" applyAlignment="1" applyProtection="1">
      <alignment wrapText="1"/>
      <protection locked="0"/>
    </xf>
    <xf numFmtId="0" fontId="3" fillId="2" borderId="0" xfId="9" applyFill="1" applyAlignment="1" applyProtection="1">
      <alignment horizontal="center"/>
      <protection locked="0"/>
    </xf>
    <xf numFmtId="1" fontId="38" fillId="4" borderId="0" xfId="8" applyNumberFormat="1" applyFont="1" applyFill="1" applyAlignment="1">
      <alignment horizontal="center"/>
    </xf>
    <xf numFmtId="0" fontId="38" fillId="4" borderId="0" xfId="8" applyFont="1" applyFill="1" applyAlignment="1">
      <alignment horizontal="center"/>
    </xf>
    <xf numFmtId="1" fontId="8" fillId="0" borderId="0" xfId="8" applyNumberFormat="1" applyAlignment="1" applyProtection="1">
      <alignment horizontal="left" wrapText="1"/>
      <protection locked="0"/>
    </xf>
    <xf numFmtId="0" fontId="8" fillId="0" borderId="0" xfId="8" applyAlignment="1" applyProtection="1">
      <alignment wrapText="1"/>
      <protection locked="0"/>
    </xf>
    <xf numFmtId="0" fontId="8" fillId="2" borderId="0" xfId="8" applyFill="1" applyAlignment="1" applyProtection="1">
      <alignment horizontal="left" vertical="top" wrapText="1"/>
      <protection locked="0"/>
    </xf>
    <xf numFmtId="0" fontId="3" fillId="2" borderId="0" xfId="9" applyFill="1" applyAlignment="1" applyProtection="1">
      <alignment wrapText="1"/>
      <protection locked="0"/>
    </xf>
    <xf numFmtId="0" fontId="0" fillId="0" borderId="0" xfId="0" applyAlignment="1" applyProtection="1">
      <alignment wrapText="1"/>
      <protection locked="0"/>
    </xf>
    <xf numFmtId="0" fontId="0" fillId="0" borderId="3" xfId="0" applyBorder="1" applyAlignment="1" applyProtection="1">
      <alignment wrapText="1"/>
      <protection locked="0"/>
    </xf>
    <xf numFmtId="0" fontId="0" fillId="2" borderId="0" xfId="0" applyFill="1" applyAlignment="1" applyProtection="1">
      <alignment horizontal="left" wrapText="1"/>
      <protection locked="0"/>
    </xf>
    <xf numFmtId="0" fontId="0" fillId="2" borderId="0" xfId="0" applyFill="1" applyAlignment="1" applyProtection="1">
      <alignment wrapText="1"/>
      <protection locked="0"/>
    </xf>
    <xf numFmtId="0" fontId="0" fillId="0" borderId="0" xfId="0" applyAlignment="1" applyProtection="1">
      <alignment horizontal="left" wrapText="1"/>
      <protection locked="0"/>
    </xf>
    <xf numFmtId="0" fontId="3" fillId="2" borderId="0" xfId="8" applyFont="1" applyFill="1" applyAlignment="1" applyProtection="1">
      <alignment horizontal="left" wrapText="1"/>
      <protection locked="0"/>
    </xf>
    <xf numFmtId="41" fontId="31" fillId="3" borderId="0" xfId="2" applyFont="1" applyFill="1" applyAlignment="1" applyProtection="1">
      <alignment horizontal="center" wrapText="1"/>
      <protection locked="0"/>
    </xf>
    <xf numFmtId="0" fontId="51" fillId="10" borderId="0" xfId="8" applyFont="1" applyFill="1" applyAlignment="1">
      <alignment horizontal="center"/>
    </xf>
    <xf numFmtId="0" fontId="9" fillId="11" borderId="0" xfId="0" applyFont="1" applyFill="1" applyAlignment="1">
      <alignment horizontal="center"/>
    </xf>
    <xf numFmtId="0" fontId="6" fillId="11" borderId="0" xfId="0" applyFont="1" applyFill="1" applyAlignment="1">
      <alignment horizontal="left" wrapText="1"/>
    </xf>
    <xf numFmtId="0" fontId="0" fillId="11" borderId="0" xfId="0" applyFill="1" applyAlignment="1">
      <alignment horizontal="left" wrapText="1"/>
    </xf>
    <xf numFmtId="0" fontId="3" fillId="2" borderId="0" xfId="0" applyFont="1" applyFill="1" applyProtection="1">
      <protection locked="0"/>
    </xf>
    <xf numFmtId="0" fontId="3" fillId="2" borderId="0" xfId="0" applyFont="1" applyFill="1" applyAlignment="1" applyProtection="1">
      <alignment wrapText="1"/>
      <protection locked="0"/>
    </xf>
    <xf numFmtId="0" fontId="3" fillId="0" borderId="0" xfId="0" applyFont="1" applyProtection="1">
      <protection locked="0"/>
    </xf>
    <xf numFmtId="0" fontId="3" fillId="3" borderId="0" xfId="0" applyFont="1" applyFill="1" applyProtection="1">
      <protection locked="0"/>
    </xf>
    <xf numFmtId="0" fontId="3" fillId="3" borderId="12" xfId="0" applyFont="1" applyFill="1" applyBorder="1"/>
    <xf numFmtId="0" fontId="3" fillId="3" borderId="7" xfId="0" applyFont="1" applyFill="1" applyBorder="1" applyAlignment="1">
      <alignment wrapText="1"/>
    </xf>
    <xf numFmtId="0" fontId="3" fillId="3" borderId="18" xfId="0" applyFont="1" applyFill="1" applyBorder="1"/>
    <xf numFmtId="0" fontId="3" fillId="3" borderId="16" xfId="0" applyFont="1" applyFill="1" applyBorder="1" applyProtection="1">
      <protection locked="0"/>
    </xf>
    <xf numFmtId="0" fontId="3" fillId="0" borderId="7" xfId="0" applyFont="1" applyBorder="1" applyAlignment="1" applyProtection="1">
      <alignment horizontal="left" wrapText="1"/>
      <protection locked="0"/>
    </xf>
    <xf numFmtId="0" fontId="3" fillId="3" borderId="11" xfId="0" applyFont="1" applyFill="1" applyBorder="1"/>
    <xf numFmtId="0" fontId="3" fillId="3" borderId="7" xfId="0" applyFont="1" applyFill="1" applyBorder="1"/>
    <xf numFmtId="0" fontId="3" fillId="3" borderId="18" xfId="0" applyFont="1" applyFill="1" applyBorder="1" applyAlignment="1">
      <alignment wrapText="1"/>
    </xf>
    <xf numFmtId="0" fontId="3" fillId="3" borderId="11" xfId="0" applyFont="1" applyFill="1" applyBorder="1" applyAlignment="1">
      <alignment vertical="top"/>
    </xf>
    <xf numFmtId="0" fontId="3" fillId="3" borderId="7" xfId="0" applyFont="1" applyFill="1" applyBorder="1" applyAlignment="1">
      <alignment vertical="top"/>
    </xf>
    <xf numFmtId="0" fontId="3" fillId="3" borderId="0" xfId="0" applyFont="1" applyFill="1" applyAlignment="1" applyProtection="1">
      <alignment horizontal="left" vertical="center" wrapText="1"/>
      <protection locked="0"/>
    </xf>
    <xf numFmtId="0" fontId="3" fillId="0" borderId="0" xfId="0" applyFont="1" applyAlignment="1" applyProtection="1">
      <alignment vertical="top"/>
      <protection locked="0"/>
    </xf>
    <xf numFmtId="0" fontId="3" fillId="0" borderId="0" xfId="0" applyFont="1" applyAlignment="1" applyProtection="1">
      <protection locked="0"/>
    </xf>
    <xf numFmtId="0" fontId="40" fillId="0" borderId="0" xfId="0" applyFont="1" applyAlignment="1" applyProtection="1">
      <protection locked="0"/>
    </xf>
    <xf numFmtId="0" fontId="3" fillId="3" borderId="0" xfId="0" applyFont="1" applyFill="1" applyAlignment="1" applyProtection="1">
      <alignment horizontal="left" indent="2"/>
      <protection locked="0"/>
    </xf>
    <xf numFmtId="0" fontId="3" fillId="3" borderId="93" xfId="0" applyFont="1" applyFill="1" applyBorder="1" applyAlignment="1" applyProtection="1">
      <alignment horizontal="left" vertical="top" indent="2"/>
      <protection locked="0"/>
    </xf>
    <xf numFmtId="170" fontId="0" fillId="0" borderId="6" xfId="0" applyNumberFormat="1" applyBorder="1" applyAlignment="1" applyProtection="1">
      <protection locked="0"/>
    </xf>
    <xf numFmtId="0" fontId="88" fillId="0" borderId="4" xfId="0" applyFont="1" applyBorder="1" applyAlignment="1"/>
    <xf numFmtId="0" fontId="0" fillId="0" borderId="4" xfId="0" applyBorder="1" applyAlignment="1"/>
    <xf numFmtId="0" fontId="90" fillId="0" borderId="4" xfId="0" applyFont="1" applyBorder="1" applyAlignment="1"/>
    <xf numFmtId="170" fontId="0" fillId="0" borderId="6" xfId="0" applyNumberFormat="1" applyBorder="1" applyAlignment="1"/>
    <xf numFmtId="0" fontId="0" fillId="0" borderId="6" xfId="0" applyBorder="1" applyAlignment="1"/>
    <xf numFmtId="0" fontId="0" fillId="0" borderId="13" xfId="0" applyBorder="1" applyAlignment="1"/>
    <xf numFmtId="170" fontId="3" fillId="0" borderId="6" xfId="0" applyNumberFormat="1" applyFont="1" applyBorder="1" applyAlignment="1" applyProtection="1">
      <protection locked="0"/>
    </xf>
    <xf numFmtId="0" fontId="3" fillId="0" borderId="0" xfId="0" applyFont="1" applyAlignment="1">
      <alignment vertical="center" wrapText="1"/>
    </xf>
    <xf numFmtId="169" fontId="3" fillId="3" borderId="1" xfId="6" applyNumberFormat="1" applyFont="1" applyFill="1" applyBorder="1" applyAlignment="1">
      <alignment horizontal="left"/>
    </xf>
    <xf numFmtId="0" fontId="3" fillId="3" borderId="1" xfId="6" applyFont="1" applyFill="1" applyBorder="1"/>
    <xf numFmtId="0" fontId="3" fillId="2" borderId="0" xfId="6" applyFont="1" applyFill="1" applyProtection="1">
      <protection locked="0"/>
    </xf>
    <xf numFmtId="169" fontId="3" fillId="2" borderId="2" xfId="6" applyNumberFormat="1" applyFont="1" applyFill="1" applyBorder="1" applyAlignment="1" applyProtection="1">
      <alignment horizontal="left"/>
      <protection locked="0"/>
    </xf>
    <xf numFmtId="169" fontId="3" fillId="3" borderId="6" xfId="6" applyNumberFormat="1" applyFont="1" applyFill="1" applyBorder="1" applyAlignment="1">
      <alignment horizontal="left"/>
    </xf>
    <xf numFmtId="0" fontId="3" fillId="3" borderId="6" xfId="0" applyFont="1" applyFill="1" applyBorder="1" applyAlignment="1"/>
    <xf numFmtId="0" fontId="3" fillId="3" borderId="6" xfId="0" applyFont="1" applyFill="1" applyBorder="1"/>
    <xf numFmtId="169" fontId="3" fillId="2" borderId="0" xfId="6" applyNumberFormat="1" applyFont="1" applyFill="1" applyAlignment="1" applyProtection="1">
      <alignment horizontal="left"/>
      <protection locked="0"/>
    </xf>
    <xf numFmtId="169" fontId="3" fillId="2" borderId="16" xfId="6" applyNumberFormat="1" applyFont="1" applyFill="1" applyBorder="1" applyAlignment="1" applyProtection="1">
      <alignment horizontal="left"/>
      <protection locked="0"/>
    </xf>
    <xf numFmtId="169" fontId="3" fillId="3" borderId="6" xfId="6" applyNumberFormat="1" applyFont="1" applyFill="1" applyBorder="1"/>
    <xf numFmtId="0" fontId="3" fillId="2" borderId="0" xfId="6" applyFont="1" applyFill="1" applyAlignment="1" applyProtection="1">
      <alignment horizontal="left" wrapText="1"/>
      <protection locked="0"/>
    </xf>
    <xf numFmtId="0" fontId="5" fillId="2" borderId="0" xfId="6" applyFont="1" applyFill="1" applyAlignment="1" applyProtection="1">
      <alignment horizontal="left" vertical="top" wrapText="1" indent="2"/>
      <protection locked="0"/>
    </xf>
    <xf numFmtId="0" fontId="7" fillId="2" borderId="0" xfId="6" applyFont="1" applyFill="1"/>
    <xf numFmtId="3" fontId="3" fillId="2" borderId="0" xfId="6" applyNumberFormat="1" applyFont="1" applyFill="1" applyProtection="1">
      <protection locked="0"/>
    </xf>
    <xf numFmtId="3" fontId="3" fillId="2" borderId="0" xfId="0" applyNumberFormat="1" applyFont="1" applyFill="1" applyProtection="1">
      <protection locked="0"/>
    </xf>
    <xf numFmtId="3" fontId="3" fillId="2" borderId="0" xfId="6" applyNumberFormat="1" applyFont="1" applyFill="1" applyAlignment="1" applyProtection="1">
      <alignment wrapText="1"/>
      <protection locked="0"/>
    </xf>
    <xf numFmtId="3" fontId="3" fillId="2" borderId="0" xfId="6" applyNumberFormat="1" applyFont="1" applyFill="1" applyAlignment="1" applyProtection="1">
      <alignment wrapText="1"/>
      <protection locked="0"/>
    </xf>
    <xf numFmtId="49" fontId="3" fillId="2" borderId="32" xfId="0" applyNumberFormat="1" applyFont="1" applyFill="1" applyBorder="1" applyAlignment="1" applyProtection="1">
      <alignment horizontal="left" wrapText="1"/>
      <protection locked="0"/>
    </xf>
    <xf numFmtId="3" fontId="54" fillId="0" borderId="0" xfId="6" applyNumberFormat="1" applyFont="1"/>
    <xf numFmtId="0" fontId="5" fillId="0" borderId="6" xfId="0" applyFont="1" applyBorder="1" applyAlignment="1"/>
    <xf numFmtId="0" fontId="0" fillId="0" borderId="6" xfId="0" applyBorder="1" applyAlignment="1" applyProtection="1">
      <protection locked="0"/>
    </xf>
    <xf numFmtId="0" fontId="48" fillId="0" borderId="0" xfId="0" applyFont="1" applyAlignment="1" applyProtection="1">
      <protection locked="0"/>
    </xf>
    <xf numFmtId="0" fontId="3" fillId="0" borderId="117" xfId="9" applyFont="1" applyBorder="1" applyAlignment="1" applyProtection="1">
      <alignment wrapText="1"/>
      <protection locked="0"/>
    </xf>
  </cellXfs>
  <cellStyles count="11">
    <cellStyle name="Comma" xfId="1" builtinId="3"/>
    <cellStyle name="Comma [0]" xfId="2" builtinId="6"/>
    <cellStyle name="Comma [0]_Enroll Fall 2006 4-yrs" xfId="3" xr:uid="{00000000-0005-0000-0000-000002000000}"/>
    <cellStyle name="Currency_EN_4_YR" xfId="4" xr:uid="{00000000-0005-0000-0000-000003000000}"/>
    <cellStyle name="Hyperlink" xfId="5" builtinId="8"/>
    <cellStyle name="Normal" xfId="0" builtinId="0"/>
    <cellStyle name="Normal_ClarQuestions" xfId="6" xr:uid="{00000000-0005-0000-0000-000006000000}"/>
    <cellStyle name="Normal_EN_4_YR" xfId="7" xr:uid="{00000000-0005-0000-0000-000007000000}"/>
    <cellStyle name="Normal_Enroll Fall 2006 4-yrs" xfId="8" xr:uid="{00000000-0005-0000-0000-000008000000}"/>
    <cellStyle name="Normal_Fiosh Retention-NEW FORMAT" xfId="9" xr:uid="{00000000-0005-0000-0000-000009000000}"/>
    <cellStyle name="Percent" xfId="10" builtinId="5"/>
  </cellStyles>
  <dxfs count="3">
    <dxf>
      <fill>
        <patternFill>
          <bgColor indexed="22"/>
        </patternFill>
      </fill>
    </dxf>
    <dxf>
      <fill>
        <patternFill>
          <bgColor indexed="22"/>
        </patternFill>
      </fill>
    </dxf>
    <dxf>
      <fill>
        <patternFill>
          <bgColor indexed="22"/>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ilcoxJ@wcsu.edu" TargetMode="External"/><Relationship Id="rId1" Type="http://schemas.openxmlformats.org/officeDocument/2006/relationships/hyperlink" Target="mailto:sciecko@ctohe.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78"/>
  <sheetViews>
    <sheetView zoomScale="75" zoomScaleNormal="100" workbookViewId="0">
      <selection activeCell="C12" sqref="C12:D12"/>
    </sheetView>
  </sheetViews>
  <sheetFormatPr defaultColWidth="9" defaultRowHeight="15.6"/>
  <cols>
    <col min="1" max="1" width="42.25" style="481" customWidth="1"/>
    <col min="2" max="2" width="46.5" style="481" customWidth="1"/>
    <col min="3" max="3" width="36" style="481" customWidth="1"/>
    <col min="4" max="4" width="11.25" style="481" customWidth="1"/>
    <col min="5" max="5" width="55.625" style="481" customWidth="1"/>
    <col min="6" max="16384" width="9" style="481"/>
  </cols>
  <sheetData>
    <row r="1" spans="1:14" ht="33.75" customHeight="1">
      <c r="A1" s="972" t="s">
        <v>0</v>
      </c>
      <c r="B1" s="972"/>
      <c r="C1" s="972"/>
      <c r="D1" s="972"/>
      <c r="E1" s="1132"/>
      <c r="F1" s="1132"/>
      <c r="G1" s="1132"/>
      <c r="H1" s="1132"/>
      <c r="I1" s="1132"/>
      <c r="J1" s="1132"/>
      <c r="K1" s="1132"/>
      <c r="L1" s="1132"/>
      <c r="M1" s="1132"/>
      <c r="N1" s="1132"/>
    </row>
    <row r="2" spans="1:14" ht="6.75" customHeight="1" thickBot="1">
      <c r="A2" s="480"/>
      <c r="B2" s="480"/>
      <c r="C2" s="480"/>
      <c r="D2" s="480"/>
      <c r="E2" s="1132"/>
      <c r="F2" s="1132"/>
      <c r="G2" s="1132"/>
      <c r="H2" s="1132"/>
      <c r="I2" s="1132"/>
      <c r="J2" s="1132"/>
      <c r="K2" s="1132"/>
      <c r="L2" s="1132"/>
      <c r="M2" s="1132"/>
      <c r="N2" s="1132"/>
    </row>
    <row r="3" spans="1:14" ht="22.9">
      <c r="A3" s="850" t="str">
        <f>"FALL ENROLLMENT "&amp;A59</f>
        <v>FALL ENROLLMENT 2021</v>
      </c>
      <c r="B3" s="603" t="s">
        <v>1</v>
      </c>
      <c r="C3" s="861" t="s">
        <v>2</v>
      </c>
      <c r="D3" s="862"/>
      <c r="E3" s="1133"/>
      <c r="F3" s="1132"/>
      <c r="G3" s="1132"/>
      <c r="H3" s="1132"/>
      <c r="I3" s="1132"/>
      <c r="J3" s="1132"/>
      <c r="K3" s="1132"/>
      <c r="L3" s="1132"/>
      <c r="M3" s="1132"/>
      <c r="N3" s="1132"/>
    </row>
    <row r="4" spans="1:14" s="482" customFormat="1" ht="18" customHeight="1" thickBot="1">
      <c r="A4" s="851" t="s">
        <v>3</v>
      </c>
      <c r="B4" s="977" t="s">
        <v>4</v>
      </c>
      <c r="C4" s="938" t="s">
        <v>5</v>
      </c>
      <c r="D4" s="853"/>
      <c r="E4" s="1134"/>
      <c r="F4" s="1132"/>
      <c r="G4" s="1132"/>
      <c r="H4" s="1132"/>
      <c r="I4" s="1132"/>
      <c r="J4" s="1132"/>
      <c r="K4" s="1132"/>
      <c r="L4" s="1132"/>
      <c r="M4" s="1132"/>
      <c r="N4" s="1132"/>
    </row>
    <row r="5" spans="1:14" s="482" customFormat="1" ht="12" customHeight="1" thickBot="1">
      <c r="A5" s="854"/>
      <c r="B5" s="978"/>
      <c r="C5" s="1135"/>
      <c r="D5" s="1135"/>
      <c r="E5" s="1132"/>
      <c r="F5" s="1132"/>
      <c r="G5" s="1132"/>
      <c r="H5" s="1132"/>
      <c r="I5" s="1132"/>
      <c r="J5" s="1132"/>
      <c r="K5" s="1132"/>
      <c r="L5" s="1132"/>
      <c r="M5" s="1132"/>
      <c r="N5" s="1132"/>
    </row>
    <row r="6" spans="1:14" s="482" customFormat="1" ht="21" customHeight="1" thickBot="1">
      <c r="A6" s="852" t="str">
        <f>"DUE: November 13, "&amp;A59</f>
        <v>DUE: November 13, 2021</v>
      </c>
      <c r="B6" s="978"/>
      <c r="C6" s="1135"/>
      <c r="D6" s="1135"/>
      <c r="E6" s="1132"/>
      <c r="F6" s="1132"/>
      <c r="G6" s="1132"/>
      <c r="H6" s="1132"/>
      <c r="I6" s="1132"/>
      <c r="J6" s="1132"/>
      <c r="K6" s="1132"/>
      <c r="L6" s="1132"/>
      <c r="M6" s="1132"/>
      <c r="N6" s="1132"/>
    </row>
    <row r="7" spans="1:14" ht="81.75" customHeight="1">
      <c r="A7" s="1136" t="s">
        <v>6</v>
      </c>
      <c r="B7" s="1137" t="s">
        <v>7</v>
      </c>
      <c r="C7" s="1138" t="s">
        <v>8</v>
      </c>
      <c r="D7" s="1139"/>
      <c r="E7" s="1133"/>
      <c r="F7" s="1132"/>
      <c r="G7" s="1132"/>
      <c r="H7" s="1132"/>
      <c r="I7" s="1132"/>
      <c r="J7" s="1132"/>
      <c r="K7" s="1132"/>
      <c r="L7" s="1132"/>
      <c r="M7" s="1132"/>
      <c r="N7" s="1132"/>
    </row>
    <row r="8" spans="1:14" ht="18.75" customHeight="1">
      <c r="A8" s="958" t="s">
        <v>9</v>
      </c>
      <c r="B8" s="1140">
        <v>130776</v>
      </c>
      <c r="C8" s="981" t="s">
        <v>10</v>
      </c>
      <c r="D8" s="982"/>
      <c r="E8" s="1132"/>
      <c r="F8" s="1132"/>
      <c r="G8" s="1132"/>
      <c r="H8" s="1132"/>
      <c r="I8" s="1132"/>
      <c r="J8" s="1132"/>
      <c r="K8" s="1132"/>
      <c r="L8" s="1132"/>
      <c r="M8" s="1132"/>
      <c r="N8" s="1132"/>
    </row>
    <row r="9" spans="1:14" ht="15" customHeight="1">
      <c r="A9" s="1141" t="s">
        <v>11</v>
      </c>
      <c r="B9" s="1142" t="s">
        <v>12</v>
      </c>
      <c r="C9" s="1143" t="s">
        <v>13</v>
      </c>
      <c r="D9" s="973"/>
      <c r="E9" s="1132"/>
      <c r="F9" s="1132"/>
      <c r="G9" s="1132"/>
      <c r="H9" s="1132"/>
      <c r="I9" s="1132"/>
      <c r="J9" s="1132"/>
      <c r="K9" s="1132"/>
      <c r="L9" s="1132"/>
      <c r="M9" s="1132"/>
      <c r="N9" s="1132"/>
    </row>
    <row r="10" spans="1:14" ht="15" customHeight="1">
      <c r="A10" s="952" t="s">
        <v>14</v>
      </c>
      <c r="B10" s="952" t="s">
        <v>15</v>
      </c>
      <c r="C10" s="979" t="s">
        <v>16</v>
      </c>
      <c r="D10" s="980"/>
      <c r="E10" s="1132"/>
      <c r="F10" s="1132"/>
      <c r="G10" s="1132"/>
      <c r="H10" s="1132"/>
      <c r="I10" s="1132"/>
      <c r="J10" s="1132"/>
      <c r="K10" s="1132"/>
      <c r="L10" s="1132"/>
      <c r="M10" s="1132"/>
      <c r="N10" s="1132"/>
    </row>
    <row r="11" spans="1:14" ht="17.45">
      <c r="A11" s="1144" t="s">
        <v>17</v>
      </c>
      <c r="B11" s="1145" t="s">
        <v>18</v>
      </c>
      <c r="C11" s="936" t="s">
        <v>19</v>
      </c>
      <c r="D11" s="937"/>
      <c r="E11" s="1132"/>
      <c r="F11" s="1132"/>
      <c r="G11" s="1132"/>
      <c r="H11" s="1132"/>
      <c r="I11" s="1132"/>
      <c r="J11" s="1132"/>
      <c r="K11" s="1132"/>
      <c r="L11" s="1132"/>
      <c r="M11" s="1132"/>
      <c r="N11" s="1132"/>
    </row>
    <row r="12" spans="1:14" ht="16.5" customHeight="1">
      <c r="A12" s="959" t="s">
        <v>20</v>
      </c>
      <c r="B12" s="957" t="s">
        <v>21</v>
      </c>
      <c r="C12" s="975">
        <v>44530</v>
      </c>
      <c r="D12" s="976"/>
      <c r="E12" s="1132"/>
      <c r="F12" s="1132"/>
      <c r="G12" s="1132"/>
      <c r="H12" s="1132"/>
      <c r="I12" s="1132"/>
      <c r="J12" s="1132"/>
      <c r="K12" s="1132"/>
      <c r="L12" s="1132"/>
      <c r="M12" s="1132"/>
      <c r="N12" s="1132"/>
    </row>
    <row r="13" spans="1:14" ht="11.25" customHeight="1">
      <c r="A13" s="1135"/>
      <c r="B13" s="1135"/>
      <c r="C13" s="1135"/>
      <c r="D13" s="1135"/>
      <c r="E13" s="1132"/>
      <c r="F13" s="1132"/>
      <c r="G13" s="1132"/>
      <c r="H13" s="1132"/>
      <c r="I13" s="1132"/>
      <c r="J13" s="1132"/>
      <c r="K13" s="1132"/>
      <c r="L13" s="1132"/>
      <c r="M13" s="1132"/>
      <c r="N13" s="1132"/>
    </row>
    <row r="14" spans="1:14" ht="120" hidden="1" customHeight="1">
      <c r="A14" s="983" t="s">
        <v>22</v>
      </c>
      <c r="B14" s="1146"/>
      <c r="C14" s="1146"/>
      <c r="D14" s="1146"/>
      <c r="E14" s="1132"/>
      <c r="F14" s="1132"/>
      <c r="G14" s="1132"/>
      <c r="H14" s="1132"/>
      <c r="I14" s="1132"/>
      <c r="J14" s="1132"/>
      <c r="K14" s="1132"/>
      <c r="L14" s="1132"/>
      <c r="M14" s="1132"/>
      <c r="N14" s="1132"/>
    </row>
    <row r="15" spans="1:14">
      <c r="A15" s="1146"/>
      <c r="B15" s="1146"/>
      <c r="C15" s="1146"/>
      <c r="D15" s="1146"/>
      <c r="E15" s="1132"/>
      <c r="F15" s="1132"/>
      <c r="G15" s="1132"/>
      <c r="H15" s="1132"/>
      <c r="I15" s="1132"/>
      <c r="J15" s="1132"/>
      <c r="K15" s="1132"/>
      <c r="L15" s="1132"/>
      <c r="M15" s="1132"/>
      <c r="N15" s="1132"/>
    </row>
    <row r="16" spans="1:14" ht="11.25" customHeight="1">
      <c r="A16" s="1135"/>
      <c r="B16" s="1135"/>
      <c r="C16" s="1135"/>
      <c r="D16" s="1135"/>
      <c r="E16" s="1132"/>
      <c r="F16" s="1132"/>
      <c r="G16" s="1132"/>
      <c r="H16" s="1132"/>
      <c r="I16" s="1132"/>
      <c r="J16" s="1132"/>
      <c r="K16" s="1132"/>
      <c r="L16" s="1132"/>
      <c r="M16" s="1132"/>
      <c r="N16" s="1132"/>
    </row>
    <row r="17" spans="1:256" ht="18" customHeight="1">
      <c r="A17" s="974" t="s">
        <v>23</v>
      </c>
      <c r="B17" s="974"/>
      <c r="C17" s="974"/>
      <c r="D17" s="855"/>
      <c r="E17" s="1132"/>
      <c r="F17" s="1132"/>
      <c r="G17" s="1132"/>
      <c r="H17" s="1132"/>
      <c r="I17" s="1132"/>
      <c r="J17" s="1132"/>
      <c r="K17" s="1132"/>
      <c r="L17" s="1132"/>
      <c r="M17" s="1132"/>
      <c r="N17" s="1132"/>
      <c r="O17" s="1134"/>
      <c r="P17" s="1134"/>
      <c r="Q17" s="1134"/>
      <c r="R17" s="1134"/>
      <c r="S17" s="1134"/>
      <c r="T17" s="1134"/>
      <c r="U17" s="1134"/>
      <c r="V17" s="1134"/>
      <c r="W17" s="1134"/>
      <c r="X17" s="1134"/>
      <c r="Y17" s="1134"/>
      <c r="Z17" s="1134"/>
      <c r="AA17" s="1134"/>
      <c r="AB17" s="1134"/>
      <c r="AC17" s="1134"/>
      <c r="AD17" s="1134"/>
      <c r="AE17" s="1134"/>
      <c r="AF17" s="1134"/>
      <c r="AG17" s="1134"/>
      <c r="AH17" s="1134"/>
      <c r="AI17" s="1134"/>
      <c r="AJ17" s="1134"/>
      <c r="AK17" s="1134"/>
      <c r="AL17" s="1134"/>
      <c r="AM17" s="1134"/>
      <c r="AN17" s="1134"/>
      <c r="AO17" s="1134"/>
      <c r="AP17" s="1134"/>
      <c r="AQ17" s="1134"/>
      <c r="AR17" s="1134"/>
      <c r="AS17" s="1134"/>
      <c r="AT17" s="1134"/>
      <c r="AU17" s="1134"/>
      <c r="AV17" s="1134"/>
      <c r="AW17" s="1134"/>
      <c r="AX17" s="1134"/>
      <c r="AY17" s="1134"/>
      <c r="AZ17" s="1134"/>
      <c r="BA17" s="1134"/>
      <c r="BB17" s="1134"/>
      <c r="BC17" s="1134"/>
      <c r="BD17" s="1134"/>
      <c r="BE17" s="1134"/>
      <c r="BF17" s="1134"/>
      <c r="BG17" s="1134"/>
      <c r="BH17" s="1134"/>
      <c r="BI17" s="1134"/>
      <c r="BJ17" s="1134"/>
      <c r="BK17" s="1134"/>
      <c r="BL17" s="1134"/>
      <c r="BM17" s="1134"/>
      <c r="BN17" s="1134"/>
      <c r="BO17" s="1134"/>
      <c r="BP17" s="1134"/>
      <c r="BQ17" s="1134"/>
      <c r="BR17" s="1134"/>
      <c r="BS17" s="1134"/>
      <c r="BT17" s="1134"/>
      <c r="BU17" s="1134"/>
      <c r="BV17" s="1134"/>
      <c r="BW17" s="1134"/>
      <c r="BX17" s="1134"/>
      <c r="BY17" s="1134"/>
      <c r="BZ17" s="1134"/>
      <c r="CA17" s="1134"/>
      <c r="CB17" s="1134"/>
      <c r="CC17" s="1134"/>
      <c r="CD17" s="1134"/>
      <c r="CE17" s="1134"/>
      <c r="CF17" s="1134"/>
      <c r="CG17" s="1134"/>
      <c r="CH17" s="1134"/>
      <c r="CI17" s="1134"/>
      <c r="CJ17" s="1134"/>
      <c r="CK17" s="1134"/>
      <c r="CL17" s="1134"/>
      <c r="CM17" s="1134"/>
      <c r="CN17" s="1134"/>
      <c r="CO17" s="1134"/>
      <c r="CP17" s="1134"/>
      <c r="CQ17" s="1134"/>
      <c r="CR17" s="1134"/>
      <c r="CS17" s="1134"/>
      <c r="CT17" s="1134"/>
      <c r="CU17" s="1134"/>
      <c r="CV17" s="1134"/>
      <c r="CW17" s="1134"/>
      <c r="CX17" s="1134"/>
      <c r="CY17" s="1134"/>
      <c r="CZ17" s="1134"/>
      <c r="DA17" s="1134"/>
      <c r="DB17" s="1134"/>
      <c r="DC17" s="1134"/>
      <c r="DD17" s="1134"/>
      <c r="DE17" s="1134"/>
      <c r="DF17" s="1134"/>
      <c r="DG17" s="1134"/>
      <c r="DH17" s="1134"/>
      <c r="DI17" s="1134"/>
      <c r="DJ17" s="1134"/>
      <c r="DK17" s="1134"/>
      <c r="DL17" s="1134"/>
      <c r="DM17" s="1134"/>
      <c r="DN17" s="1134"/>
      <c r="DO17" s="1134"/>
      <c r="DP17" s="1134"/>
      <c r="DQ17" s="1134"/>
      <c r="DR17" s="1134"/>
      <c r="DS17" s="1134"/>
      <c r="DT17" s="1134"/>
      <c r="DU17" s="1134"/>
      <c r="DV17" s="1134"/>
      <c r="DW17" s="1134"/>
      <c r="DX17" s="1134"/>
      <c r="DY17" s="1134"/>
      <c r="DZ17" s="1134"/>
      <c r="EA17" s="1134"/>
      <c r="EB17" s="1134"/>
      <c r="EC17" s="1134"/>
      <c r="ED17" s="1134"/>
      <c r="EE17" s="1134"/>
      <c r="EF17" s="1134"/>
      <c r="EG17" s="1134"/>
      <c r="EH17" s="1134"/>
      <c r="EI17" s="1134"/>
      <c r="EJ17" s="1134"/>
      <c r="EK17" s="1134"/>
      <c r="EL17" s="1134"/>
      <c r="EM17" s="1134"/>
      <c r="EN17" s="1134"/>
      <c r="EO17" s="1134"/>
      <c r="EP17" s="1134"/>
      <c r="EQ17" s="1134"/>
      <c r="ER17" s="1134"/>
      <c r="ES17" s="1134"/>
      <c r="ET17" s="1134"/>
      <c r="EU17" s="1134"/>
      <c r="EV17" s="1134"/>
      <c r="EW17" s="1134"/>
      <c r="EX17" s="1134"/>
      <c r="EY17" s="1134"/>
      <c r="EZ17" s="1134"/>
      <c r="FA17" s="1134"/>
      <c r="FB17" s="1134"/>
      <c r="FC17" s="1134"/>
      <c r="FD17" s="1134"/>
      <c r="FE17" s="1134"/>
      <c r="FF17" s="1134"/>
      <c r="FG17" s="1134"/>
      <c r="FH17" s="1134"/>
      <c r="FI17" s="1134"/>
      <c r="FJ17" s="1134"/>
      <c r="FK17" s="1134"/>
      <c r="FL17" s="1134"/>
      <c r="FM17" s="1134"/>
      <c r="FN17" s="1134"/>
      <c r="FO17" s="1134"/>
      <c r="FP17" s="1134"/>
      <c r="FQ17" s="1134"/>
      <c r="FR17" s="1134"/>
      <c r="FS17" s="1134"/>
      <c r="FT17" s="1134"/>
      <c r="FU17" s="1134"/>
      <c r="FV17" s="1134"/>
      <c r="FW17" s="1134"/>
      <c r="FX17" s="1134"/>
      <c r="FY17" s="1134"/>
      <c r="FZ17" s="1134"/>
      <c r="GA17" s="1134"/>
      <c r="GB17" s="1134"/>
      <c r="GC17" s="1134"/>
      <c r="GD17" s="1134"/>
      <c r="GE17" s="1134"/>
      <c r="GF17" s="1134"/>
      <c r="GG17" s="1134"/>
      <c r="GH17" s="1134"/>
      <c r="GI17" s="1134"/>
      <c r="GJ17" s="1134"/>
      <c r="GK17" s="1134"/>
      <c r="GL17" s="1134"/>
      <c r="GM17" s="1134"/>
      <c r="GN17" s="1134"/>
      <c r="GO17" s="1134"/>
      <c r="GP17" s="1134"/>
      <c r="GQ17" s="1134"/>
      <c r="GR17" s="1134"/>
      <c r="GS17" s="1134"/>
      <c r="GT17" s="1134"/>
      <c r="GU17" s="1134"/>
      <c r="GV17" s="1134"/>
      <c r="GW17" s="1134"/>
      <c r="GX17" s="1134"/>
      <c r="GY17" s="1134"/>
      <c r="GZ17" s="1134"/>
      <c r="HA17" s="1134"/>
      <c r="HB17" s="1134"/>
      <c r="HC17" s="1134"/>
      <c r="HD17" s="1134"/>
      <c r="HE17" s="1134"/>
      <c r="HF17" s="1134"/>
      <c r="HG17" s="1134"/>
      <c r="HH17" s="1134"/>
      <c r="HI17" s="1134"/>
      <c r="HJ17" s="1134"/>
      <c r="HK17" s="1134"/>
      <c r="HL17" s="1134"/>
      <c r="HM17" s="1134"/>
      <c r="HN17" s="1134"/>
      <c r="HO17" s="1134"/>
      <c r="HP17" s="1134"/>
      <c r="HQ17" s="1134"/>
      <c r="HR17" s="1134"/>
      <c r="HS17" s="1134"/>
      <c r="HT17" s="1134"/>
      <c r="HU17" s="1134"/>
      <c r="HV17" s="1134"/>
      <c r="HW17" s="1134"/>
      <c r="HX17" s="1134"/>
      <c r="HY17" s="1134"/>
      <c r="HZ17" s="1134"/>
      <c r="IA17" s="1134"/>
      <c r="IB17" s="1134"/>
      <c r="IC17" s="1134"/>
      <c r="ID17" s="1134"/>
      <c r="IE17" s="1134"/>
      <c r="IF17" s="1134"/>
      <c r="IG17" s="1134"/>
      <c r="IH17" s="1134"/>
      <c r="II17" s="1134"/>
      <c r="IJ17" s="1134"/>
      <c r="IK17" s="1134"/>
      <c r="IL17" s="1134"/>
      <c r="IM17" s="1134"/>
      <c r="IN17" s="1134"/>
      <c r="IO17" s="1134"/>
      <c r="IP17" s="1134"/>
      <c r="IQ17" s="1134"/>
      <c r="IR17" s="1134"/>
      <c r="IS17" s="1134"/>
      <c r="IT17" s="1134"/>
      <c r="IU17" s="1134"/>
      <c r="IV17" s="1134"/>
    </row>
    <row r="18" spans="1:256">
      <c r="A18" s="967" t="s">
        <v>24</v>
      </c>
      <c r="B18" s="1147"/>
      <c r="C18" s="1147"/>
      <c r="D18" s="1147"/>
      <c r="E18" s="1132"/>
      <c r="F18" s="1132"/>
      <c r="G18" s="1132"/>
      <c r="H18" s="1132"/>
      <c r="I18" s="1132"/>
      <c r="J18" s="1132"/>
      <c r="K18" s="1132"/>
      <c r="L18" s="1132"/>
      <c r="M18" s="1132"/>
      <c r="N18" s="1132"/>
      <c r="O18" s="1134"/>
      <c r="P18" s="1134"/>
      <c r="Q18" s="1134"/>
      <c r="R18" s="885" t="s">
        <v>25</v>
      </c>
      <c r="S18" s="1134"/>
      <c r="T18" s="1134"/>
      <c r="U18" s="1134"/>
      <c r="V18" s="1134"/>
      <c r="W18" s="1134"/>
      <c r="X18" s="1134"/>
      <c r="Y18" s="1134"/>
      <c r="Z18" s="1134"/>
      <c r="AA18" s="1134"/>
      <c r="AB18" s="1134"/>
      <c r="AC18" s="1134"/>
      <c r="AD18" s="1134"/>
      <c r="AE18" s="1134"/>
      <c r="AF18" s="1134"/>
      <c r="AG18" s="1134"/>
      <c r="AH18" s="1134"/>
      <c r="AI18" s="1134"/>
      <c r="AJ18" s="1134"/>
      <c r="AK18" s="1134"/>
      <c r="AL18" s="1134"/>
      <c r="AM18" s="1134"/>
      <c r="AN18" s="1134"/>
      <c r="AO18" s="1134"/>
      <c r="AP18" s="1134"/>
      <c r="AQ18" s="1134"/>
      <c r="AR18" s="1134"/>
      <c r="AS18" s="1134"/>
      <c r="AT18" s="1134"/>
      <c r="AU18" s="1134"/>
      <c r="AV18" s="1134"/>
      <c r="AW18" s="1134"/>
      <c r="AX18" s="1134"/>
      <c r="AY18" s="1134"/>
      <c r="AZ18" s="1134"/>
      <c r="BA18" s="1134"/>
      <c r="BB18" s="1134"/>
      <c r="BC18" s="1134"/>
      <c r="BD18" s="1134"/>
      <c r="BE18" s="1134"/>
      <c r="BF18" s="1134"/>
      <c r="BG18" s="1134"/>
      <c r="BH18" s="1134"/>
      <c r="BI18" s="1134"/>
      <c r="BJ18" s="1134"/>
      <c r="BK18" s="1134"/>
      <c r="BL18" s="1134"/>
      <c r="BM18" s="1134"/>
      <c r="BN18" s="1134"/>
      <c r="BO18" s="1134"/>
      <c r="BP18" s="1134"/>
      <c r="BQ18" s="1134"/>
      <c r="BR18" s="1134"/>
      <c r="BS18" s="1134"/>
      <c r="BT18" s="1134"/>
      <c r="BU18" s="1134"/>
      <c r="BV18" s="1134"/>
      <c r="BW18" s="1134"/>
      <c r="BX18" s="1134"/>
      <c r="BY18" s="1134"/>
      <c r="BZ18" s="1134"/>
      <c r="CA18" s="1134"/>
      <c r="CB18" s="1134"/>
      <c r="CC18" s="1134"/>
      <c r="CD18" s="1134"/>
      <c r="CE18" s="1134"/>
      <c r="CF18" s="1134"/>
      <c r="CG18" s="1134"/>
      <c r="CH18" s="1134"/>
      <c r="CI18" s="1134"/>
      <c r="CJ18" s="1134"/>
      <c r="CK18" s="1134"/>
      <c r="CL18" s="1134"/>
      <c r="CM18" s="1134"/>
      <c r="CN18" s="1134"/>
      <c r="CO18" s="1134"/>
      <c r="CP18" s="1134"/>
      <c r="CQ18" s="1134"/>
      <c r="CR18" s="1134"/>
      <c r="CS18" s="1134"/>
      <c r="CT18" s="1134"/>
      <c r="CU18" s="1134"/>
      <c r="CV18" s="1134"/>
      <c r="CW18" s="1134"/>
      <c r="CX18" s="1134"/>
      <c r="CY18" s="1134"/>
      <c r="CZ18" s="1134"/>
      <c r="DA18" s="1134"/>
      <c r="DB18" s="1134"/>
      <c r="DC18" s="1134"/>
      <c r="DD18" s="1134"/>
      <c r="DE18" s="1134"/>
      <c r="DF18" s="1134"/>
      <c r="DG18" s="1134"/>
      <c r="DH18" s="1134"/>
      <c r="DI18" s="1134"/>
      <c r="DJ18" s="1134"/>
      <c r="DK18" s="1134"/>
      <c r="DL18" s="1134"/>
      <c r="DM18" s="1134"/>
      <c r="DN18" s="1134"/>
      <c r="DO18" s="1134"/>
      <c r="DP18" s="1134"/>
      <c r="DQ18" s="1134"/>
      <c r="DR18" s="1134"/>
      <c r="DS18" s="1134"/>
      <c r="DT18" s="1134"/>
      <c r="DU18" s="1134"/>
      <c r="DV18" s="1134"/>
      <c r="DW18" s="1134"/>
      <c r="DX18" s="1134"/>
      <c r="DY18" s="1134"/>
      <c r="DZ18" s="1134"/>
      <c r="EA18" s="1134"/>
      <c r="EB18" s="1134"/>
      <c r="EC18" s="1134"/>
      <c r="ED18" s="1134"/>
      <c r="EE18" s="1134"/>
      <c r="EF18" s="1134"/>
      <c r="EG18" s="1134"/>
      <c r="EH18" s="1134"/>
      <c r="EI18" s="1134"/>
      <c r="EJ18" s="1134"/>
      <c r="EK18" s="1134"/>
      <c r="EL18" s="1134"/>
      <c r="EM18" s="1134"/>
      <c r="EN18" s="1134"/>
      <c r="EO18" s="1134"/>
      <c r="EP18" s="1134"/>
      <c r="EQ18" s="1134"/>
      <c r="ER18" s="1134"/>
      <c r="ES18" s="1134"/>
      <c r="ET18" s="1134"/>
      <c r="EU18" s="1134"/>
      <c r="EV18" s="1134"/>
      <c r="EW18" s="1134"/>
      <c r="EX18" s="1134"/>
      <c r="EY18" s="1134"/>
      <c r="EZ18" s="1134"/>
      <c r="FA18" s="1134"/>
      <c r="FB18" s="1134"/>
      <c r="FC18" s="1134"/>
      <c r="FD18" s="1134"/>
      <c r="FE18" s="1134"/>
      <c r="FF18" s="1134"/>
      <c r="FG18" s="1134"/>
      <c r="FH18" s="1134"/>
      <c r="FI18" s="1134"/>
      <c r="FJ18" s="1134"/>
      <c r="FK18" s="1134"/>
      <c r="FL18" s="1134"/>
      <c r="FM18" s="1134"/>
      <c r="FN18" s="1134"/>
      <c r="FO18" s="1134"/>
      <c r="FP18" s="1134"/>
      <c r="FQ18" s="1134"/>
      <c r="FR18" s="1134"/>
      <c r="FS18" s="1134"/>
      <c r="FT18" s="1134"/>
      <c r="FU18" s="1134"/>
      <c r="FV18" s="1134"/>
      <c r="FW18" s="1134"/>
      <c r="FX18" s="1134"/>
      <c r="FY18" s="1134"/>
      <c r="FZ18" s="1134"/>
      <c r="GA18" s="1134"/>
      <c r="GB18" s="1134"/>
      <c r="GC18" s="1134"/>
      <c r="GD18" s="1134"/>
      <c r="GE18" s="1134"/>
      <c r="GF18" s="1134"/>
      <c r="GG18" s="1134"/>
      <c r="GH18" s="1134"/>
      <c r="GI18" s="1134"/>
      <c r="GJ18" s="1134"/>
      <c r="GK18" s="1134"/>
      <c r="GL18" s="1134"/>
      <c r="GM18" s="1134"/>
      <c r="GN18" s="1134"/>
      <c r="GO18" s="1134"/>
      <c r="GP18" s="1134"/>
      <c r="GQ18" s="1134"/>
      <c r="GR18" s="1134"/>
      <c r="GS18" s="1134"/>
      <c r="GT18" s="1134"/>
      <c r="GU18" s="1134"/>
      <c r="GV18" s="1134"/>
      <c r="GW18" s="1134"/>
      <c r="GX18" s="1134"/>
      <c r="GY18" s="1134"/>
      <c r="GZ18" s="1134"/>
      <c r="HA18" s="1134"/>
      <c r="HB18" s="1134"/>
      <c r="HC18" s="1134"/>
      <c r="HD18" s="1134"/>
      <c r="HE18" s="1134"/>
      <c r="HF18" s="1134"/>
      <c r="HG18" s="1134"/>
      <c r="HH18" s="1134"/>
      <c r="HI18" s="1134"/>
      <c r="HJ18" s="1134"/>
      <c r="HK18" s="1134"/>
      <c r="HL18" s="1134"/>
      <c r="HM18" s="1134"/>
      <c r="HN18" s="1134"/>
      <c r="HO18" s="1134"/>
      <c r="HP18" s="1134"/>
      <c r="HQ18" s="1134"/>
      <c r="HR18" s="1134"/>
      <c r="HS18" s="1134"/>
      <c r="HT18" s="1134"/>
      <c r="HU18" s="1134"/>
      <c r="HV18" s="1134"/>
      <c r="HW18" s="1134"/>
      <c r="HX18" s="1134"/>
      <c r="HY18" s="1134"/>
      <c r="HZ18" s="1134"/>
      <c r="IA18" s="1134"/>
      <c r="IB18" s="1134"/>
      <c r="IC18" s="1134"/>
      <c r="ID18" s="1134"/>
      <c r="IE18" s="1134"/>
      <c r="IF18" s="1134"/>
      <c r="IG18" s="1134"/>
      <c r="IH18" s="1134"/>
      <c r="II18" s="1134"/>
      <c r="IJ18" s="1134"/>
      <c r="IK18" s="1134"/>
      <c r="IL18" s="1134"/>
      <c r="IM18" s="1134"/>
      <c r="IN18" s="1134"/>
      <c r="IO18" s="1134"/>
      <c r="IP18" s="1134"/>
      <c r="IQ18" s="1134"/>
      <c r="IR18" s="1134"/>
      <c r="IS18" s="1134"/>
      <c r="IT18" s="1134"/>
      <c r="IU18" s="1134"/>
      <c r="IV18" s="1134"/>
    </row>
    <row r="19" spans="1:256" ht="32.25" customHeight="1">
      <c r="A19" s="968" t="s">
        <v>26</v>
      </c>
      <c r="B19" s="1148"/>
      <c r="C19" s="1148"/>
      <c r="D19" s="1148"/>
      <c r="E19" s="848"/>
      <c r="F19" s="848"/>
      <c r="G19" s="848"/>
      <c r="H19" s="848"/>
      <c r="I19" s="848"/>
      <c r="J19" s="848"/>
      <c r="K19" s="848"/>
      <c r="L19" s="848"/>
      <c r="M19" s="848"/>
      <c r="N19" s="848"/>
      <c r="O19" s="845"/>
      <c r="P19" s="845"/>
      <c r="Q19" s="845"/>
      <c r="R19" s="886" t="s">
        <v>27</v>
      </c>
      <c r="S19" s="845"/>
      <c r="T19" s="845"/>
      <c r="U19" s="845"/>
      <c r="V19" s="845"/>
      <c r="W19" s="845"/>
      <c r="X19" s="845"/>
      <c r="Y19" s="845"/>
      <c r="Z19" s="845"/>
      <c r="AA19" s="845"/>
      <c r="AB19" s="845"/>
      <c r="AC19" s="845"/>
      <c r="AD19" s="845"/>
      <c r="AE19" s="845"/>
      <c r="AF19" s="845"/>
      <c r="AG19" s="845"/>
      <c r="AH19" s="845"/>
      <c r="AI19" s="845"/>
      <c r="AJ19" s="845"/>
      <c r="AK19" s="845"/>
      <c r="AL19" s="845"/>
      <c r="AM19" s="845"/>
      <c r="AN19" s="845"/>
      <c r="AO19" s="845"/>
      <c r="AP19" s="845"/>
      <c r="AQ19" s="845"/>
      <c r="AR19" s="845"/>
      <c r="AS19" s="845"/>
      <c r="AT19" s="845"/>
      <c r="AU19" s="845"/>
      <c r="AV19" s="845"/>
      <c r="AW19" s="845"/>
      <c r="AX19" s="845"/>
      <c r="AY19" s="845"/>
      <c r="AZ19" s="845"/>
      <c r="BA19" s="845"/>
      <c r="BB19" s="845"/>
      <c r="BC19" s="845"/>
      <c r="BD19" s="845"/>
      <c r="BE19" s="845"/>
      <c r="BF19" s="845"/>
      <c r="BG19" s="845"/>
      <c r="BH19" s="845"/>
      <c r="BI19" s="845"/>
      <c r="BJ19" s="845"/>
      <c r="BK19" s="845"/>
      <c r="BL19" s="845"/>
      <c r="BM19" s="845"/>
      <c r="BN19" s="845"/>
      <c r="BO19" s="845"/>
      <c r="BP19" s="845"/>
      <c r="BQ19" s="845"/>
      <c r="BR19" s="845"/>
      <c r="BS19" s="845"/>
      <c r="BT19" s="845"/>
      <c r="BU19" s="845"/>
      <c r="BV19" s="845"/>
      <c r="BW19" s="845"/>
      <c r="BX19" s="845"/>
      <c r="BY19" s="845"/>
      <c r="BZ19" s="845"/>
      <c r="CA19" s="845"/>
      <c r="CB19" s="845"/>
      <c r="CC19" s="845"/>
      <c r="CD19" s="845"/>
      <c r="CE19" s="845"/>
      <c r="CF19" s="845"/>
      <c r="CG19" s="845"/>
      <c r="CH19" s="845"/>
      <c r="CI19" s="845"/>
      <c r="CJ19" s="845"/>
      <c r="CK19" s="845"/>
      <c r="CL19" s="845"/>
      <c r="CM19" s="845"/>
      <c r="CN19" s="845"/>
      <c r="CO19" s="845"/>
      <c r="CP19" s="845"/>
      <c r="CQ19" s="845"/>
      <c r="CR19" s="845"/>
      <c r="CS19" s="845"/>
      <c r="CT19" s="845"/>
      <c r="CU19" s="845"/>
      <c r="CV19" s="845"/>
      <c r="CW19" s="845"/>
      <c r="CX19" s="845"/>
      <c r="CY19" s="845"/>
      <c r="CZ19" s="845"/>
      <c r="DA19" s="845"/>
      <c r="DB19" s="845"/>
      <c r="DC19" s="845"/>
      <c r="DD19" s="845"/>
      <c r="DE19" s="845"/>
      <c r="DF19" s="845"/>
      <c r="DG19" s="845"/>
      <c r="DH19" s="845"/>
      <c r="DI19" s="845"/>
      <c r="DJ19" s="845"/>
      <c r="DK19" s="845"/>
      <c r="DL19" s="845"/>
      <c r="DM19" s="845"/>
      <c r="DN19" s="845"/>
      <c r="DO19" s="845"/>
      <c r="DP19" s="845"/>
      <c r="DQ19" s="845"/>
      <c r="DR19" s="845"/>
      <c r="DS19" s="845"/>
      <c r="DT19" s="845"/>
      <c r="DU19" s="845"/>
      <c r="DV19" s="845"/>
      <c r="DW19" s="845"/>
      <c r="DX19" s="845"/>
      <c r="DY19" s="845"/>
      <c r="DZ19" s="845"/>
      <c r="EA19" s="845"/>
      <c r="EB19" s="845"/>
      <c r="EC19" s="845"/>
      <c r="ED19" s="845"/>
      <c r="EE19" s="845"/>
      <c r="EF19" s="845"/>
      <c r="EG19" s="845"/>
      <c r="EH19" s="845"/>
      <c r="EI19" s="845"/>
      <c r="EJ19" s="845"/>
      <c r="EK19" s="845"/>
      <c r="EL19" s="845"/>
      <c r="EM19" s="845"/>
      <c r="EN19" s="845"/>
      <c r="EO19" s="845"/>
      <c r="EP19" s="845"/>
      <c r="EQ19" s="845"/>
      <c r="ER19" s="845"/>
      <c r="ES19" s="845"/>
      <c r="ET19" s="845"/>
      <c r="EU19" s="845"/>
      <c r="EV19" s="845"/>
      <c r="EW19" s="845"/>
      <c r="EX19" s="845"/>
      <c r="EY19" s="845"/>
      <c r="EZ19" s="845"/>
      <c r="FA19" s="845"/>
      <c r="FB19" s="845"/>
      <c r="FC19" s="845"/>
      <c r="FD19" s="845"/>
      <c r="FE19" s="845"/>
      <c r="FF19" s="845"/>
      <c r="FG19" s="845"/>
      <c r="FH19" s="845"/>
      <c r="FI19" s="845"/>
      <c r="FJ19" s="845"/>
      <c r="FK19" s="845"/>
      <c r="FL19" s="845"/>
      <c r="FM19" s="845"/>
      <c r="FN19" s="845"/>
      <c r="FO19" s="845"/>
      <c r="FP19" s="845"/>
      <c r="FQ19" s="845"/>
      <c r="FR19" s="845"/>
      <c r="FS19" s="845"/>
      <c r="FT19" s="845"/>
      <c r="FU19" s="845"/>
      <c r="FV19" s="845"/>
      <c r="FW19" s="845"/>
      <c r="FX19" s="845"/>
      <c r="FY19" s="845"/>
      <c r="FZ19" s="845"/>
      <c r="GA19" s="845"/>
      <c r="GB19" s="845"/>
      <c r="GC19" s="845"/>
      <c r="GD19" s="845"/>
      <c r="GE19" s="845"/>
      <c r="GF19" s="845"/>
      <c r="GG19" s="845"/>
      <c r="GH19" s="845"/>
      <c r="GI19" s="845"/>
      <c r="GJ19" s="845"/>
      <c r="GK19" s="845"/>
      <c r="GL19" s="845"/>
      <c r="GM19" s="845"/>
      <c r="GN19" s="845"/>
      <c r="GO19" s="845"/>
      <c r="GP19" s="845"/>
      <c r="GQ19" s="845"/>
      <c r="GR19" s="845"/>
      <c r="GS19" s="845"/>
      <c r="GT19" s="845"/>
      <c r="GU19" s="845"/>
      <c r="GV19" s="845"/>
      <c r="GW19" s="845"/>
      <c r="GX19" s="845"/>
      <c r="GY19" s="845"/>
      <c r="GZ19" s="845"/>
      <c r="HA19" s="845"/>
      <c r="HB19" s="845"/>
      <c r="HC19" s="845"/>
      <c r="HD19" s="845"/>
      <c r="HE19" s="845"/>
      <c r="HF19" s="845"/>
      <c r="HG19" s="845"/>
      <c r="HH19" s="845"/>
      <c r="HI19" s="845"/>
      <c r="HJ19" s="845"/>
      <c r="HK19" s="845"/>
      <c r="HL19" s="845"/>
      <c r="HM19" s="845"/>
      <c r="HN19" s="845"/>
      <c r="HO19" s="845"/>
      <c r="HP19" s="845"/>
      <c r="HQ19" s="845"/>
      <c r="HR19" s="845"/>
      <c r="HS19" s="845"/>
      <c r="HT19" s="845"/>
      <c r="HU19" s="845"/>
      <c r="HV19" s="845"/>
      <c r="HW19" s="845"/>
      <c r="HX19" s="845"/>
      <c r="HY19" s="845"/>
      <c r="HZ19" s="845"/>
      <c r="IA19" s="845"/>
      <c r="IB19" s="845"/>
      <c r="IC19" s="845"/>
      <c r="ID19" s="845"/>
      <c r="IE19" s="845"/>
      <c r="IF19" s="845"/>
      <c r="IG19" s="845"/>
      <c r="IH19" s="845"/>
      <c r="II19" s="845"/>
      <c r="IJ19" s="845"/>
      <c r="IK19" s="845"/>
      <c r="IL19" s="845"/>
      <c r="IM19" s="845"/>
      <c r="IN19" s="845"/>
      <c r="IO19" s="845"/>
      <c r="IP19" s="845"/>
      <c r="IQ19" s="845"/>
      <c r="IR19" s="845"/>
      <c r="IS19" s="845"/>
      <c r="IT19" s="845"/>
      <c r="IU19" s="845"/>
      <c r="IV19" s="845"/>
    </row>
    <row r="20" spans="1:256" ht="15" customHeight="1">
      <c r="A20" s="971" t="s">
        <v>28</v>
      </c>
      <c r="B20" s="1149"/>
      <c r="C20" s="1149"/>
      <c r="D20" s="1149"/>
      <c r="E20" s="848"/>
      <c r="F20" s="848"/>
      <c r="G20" s="848"/>
      <c r="H20" s="848"/>
      <c r="I20" s="848"/>
      <c r="J20" s="848"/>
      <c r="K20" s="848"/>
      <c r="L20" s="848"/>
      <c r="M20" s="848"/>
      <c r="N20" s="848"/>
      <c r="O20" s="845"/>
      <c r="P20" s="845"/>
      <c r="Q20" s="845"/>
      <c r="R20" s="887" t="s">
        <v>29</v>
      </c>
      <c r="S20" s="845"/>
      <c r="T20" s="845"/>
      <c r="U20" s="845"/>
      <c r="V20" s="845"/>
      <c r="W20" s="845"/>
      <c r="X20" s="845"/>
      <c r="Y20" s="845"/>
      <c r="Z20" s="845"/>
      <c r="AA20" s="845"/>
      <c r="AB20" s="845"/>
      <c r="AC20" s="845"/>
      <c r="AD20" s="845"/>
      <c r="AE20" s="845"/>
      <c r="AF20" s="845"/>
      <c r="AG20" s="845"/>
      <c r="AH20" s="845"/>
      <c r="AI20" s="845"/>
      <c r="AJ20" s="845"/>
      <c r="AK20" s="845"/>
      <c r="AL20" s="845"/>
      <c r="AM20" s="845"/>
      <c r="AN20" s="845"/>
      <c r="AO20" s="845"/>
      <c r="AP20" s="845"/>
      <c r="AQ20" s="845"/>
      <c r="AR20" s="845"/>
      <c r="AS20" s="845"/>
      <c r="AT20" s="845"/>
      <c r="AU20" s="845"/>
      <c r="AV20" s="845"/>
      <c r="AW20" s="845"/>
      <c r="AX20" s="845"/>
      <c r="AY20" s="845"/>
      <c r="AZ20" s="845"/>
      <c r="BA20" s="845"/>
      <c r="BB20" s="845"/>
      <c r="BC20" s="845"/>
      <c r="BD20" s="845"/>
      <c r="BE20" s="845"/>
      <c r="BF20" s="845"/>
      <c r="BG20" s="845"/>
      <c r="BH20" s="845"/>
      <c r="BI20" s="845"/>
      <c r="BJ20" s="845"/>
      <c r="BK20" s="845"/>
      <c r="BL20" s="845"/>
      <c r="BM20" s="845"/>
      <c r="BN20" s="845"/>
      <c r="BO20" s="845"/>
      <c r="BP20" s="845"/>
      <c r="BQ20" s="845"/>
      <c r="BR20" s="845"/>
      <c r="BS20" s="845"/>
      <c r="BT20" s="845"/>
      <c r="BU20" s="845"/>
      <c r="BV20" s="845"/>
      <c r="BW20" s="845"/>
      <c r="BX20" s="845"/>
      <c r="BY20" s="845"/>
      <c r="BZ20" s="845"/>
      <c r="CA20" s="845"/>
      <c r="CB20" s="845"/>
      <c r="CC20" s="845"/>
      <c r="CD20" s="845"/>
      <c r="CE20" s="845"/>
      <c r="CF20" s="845"/>
      <c r="CG20" s="845"/>
      <c r="CH20" s="845"/>
      <c r="CI20" s="845"/>
      <c r="CJ20" s="845"/>
      <c r="CK20" s="845"/>
      <c r="CL20" s="845"/>
      <c r="CM20" s="845"/>
      <c r="CN20" s="845"/>
      <c r="CO20" s="845"/>
      <c r="CP20" s="845"/>
      <c r="CQ20" s="845"/>
      <c r="CR20" s="845"/>
      <c r="CS20" s="845"/>
      <c r="CT20" s="845"/>
      <c r="CU20" s="845"/>
      <c r="CV20" s="845"/>
      <c r="CW20" s="845"/>
      <c r="CX20" s="845"/>
      <c r="CY20" s="845"/>
      <c r="CZ20" s="845"/>
      <c r="DA20" s="845"/>
      <c r="DB20" s="845"/>
      <c r="DC20" s="845"/>
      <c r="DD20" s="845"/>
      <c r="DE20" s="845"/>
      <c r="DF20" s="845"/>
      <c r="DG20" s="845"/>
      <c r="DH20" s="845"/>
      <c r="DI20" s="845"/>
      <c r="DJ20" s="845"/>
      <c r="DK20" s="845"/>
      <c r="DL20" s="845"/>
      <c r="DM20" s="845"/>
      <c r="DN20" s="845"/>
      <c r="DO20" s="845"/>
      <c r="DP20" s="845"/>
      <c r="DQ20" s="845"/>
      <c r="DR20" s="845"/>
      <c r="DS20" s="845"/>
      <c r="DT20" s="845"/>
      <c r="DU20" s="845"/>
      <c r="DV20" s="845"/>
      <c r="DW20" s="845"/>
      <c r="DX20" s="845"/>
      <c r="DY20" s="845"/>
      <c r="DZ20" s="845"/>
      <c r="EA20" s="845"/>
      <c r="EB20" s="845"/>
      <c r="EC20" s="845"/>
      <c r="ED20" s="845"/>
      <c r="EE20" s="845"/>
      <c r="EF20" s="845"/>
      <c r="EG20" s="845"/>
      <c r="EH20" s="845"/>
      <c r="EI20" s="845"/>
      <c r="EJ20" s="845"/>
      <c r="EK20" s="845"/>
      <c r="EL20" s="845"/>
      <c r="EM20" s="845"/>
      <c r="EN20" s="845"/>
      <c r="EO20" s="845"/>
      <c r="EP20" s="845"/>
      <c r="EQ20" s="845"/>
      <c r="ER20" s="845"/>
      <c r="ES20" s="845"/>
      <c r="ET20" s="845"/>
      <c r="EU20" s="845"/>
      <c r="EV20" s="845"/>
      <c r="EW20" s="845"/>
      <c r="EX20" s="845"/>
      <c r="EY20" s="845"/>
      <c r="EZ20" s="845"/>
      <c r="FA20" s="845"/>
      <c r="FB20" s="845"/>
      <c r="FC20" s="845"/>
      <c r="FD20" s="845"/>
      <c r="FE20" s="845"/>
      <c r="FF20" s="845"/>
      <c r="FG20" s="845"/>
      <c r="FH20" s="845"/>
      <c r="FI20" s="845"/>
      <c r="FJ20" s="845"/>
      <c r="FK20" s="845"/>
      <c r="FL20" s="845"/>
      <c r="FM20" s="845"/>
      <c r="FN20" s="845"/>
      <c r="FO20" s="845"/>
      <c r="FP20" s="845"/>
      <c r="FQ20" s="845"/>
      <c r="FR20" s="845"/>
      <c r="FS20" s="845"/>
      <c r="FT20" s="845"/>
      <c r="FU20" s="845"/>
      <c r="FV20" s="845"/>
      <c r="FW20" s="845"/>
      <c r="FX20" s="845"/>
      <c r="FY20" s="845"/>
      <c r="FZ20" s="845"/>
      <c r="GA20" s="845"/>
      <c r="GB20" s="845"/>
      <c r="GC20" s="845"/>
      <c r="GD20" s="845"/>
      <c r="GE20" s="845"/>
      <c r="GF20" s="845"/>
      <c r="GG20" s="845"/>
      <c r="GH20" s="845"/>
      <c r="GI20" s="845"/>
      <c r="GJ20" s="845"/>
      <c r="GK20" s="845"/>
      <c r="GL20" s="845"/>
      <c r="GM20" s="845"/>
      <c r="GN20" s="845"/>
      <c r="GO20" s="845"/>
      <c r="GP20" s="845"/>
      <c r="GQ20" s="845"/>
      <c r="GR20" s="845"/>
      <c r="GS20" s="845"/>
      <c r="GT20" s="845"/>
      <c r="GU20" s="845"/>
      <c r="GV20" s="845"/>
      <c r="GW20" s="845"/>
      <c r="GX20" s="845"/>
      <c r="GY20" s="845"/>
      <c r="GZ20" s="845"/>
      <c r="HA20" s="845"/>
      <c r="HB20" s="845"/>
      <c r="HC20" s="845"/>
      <c r="HD20" s="845"/>
      <c r="HE20" s="845"/>
      <c r="HF20" s="845"/>
      <c r="HG20" s="845"/>
      <c r="HH20" s="845"/>
      <c r="HI20" s="845"/>
      <c r="HJ20" s="845"/>
      <c r="HK20" s="845"/>
      <c r="HL20" s="845"/>
      <c r="HM20" s="845"/>
      <c r="HN20" s="845"/>
      <c r="HO20" s="845"/>
      <c r="HP20" s="845"/>
      <c r="HQ20" s="845"/>
      <c r="HR20" s="845"/>
      <c r="HS20" s="845"/>
      <c r="HT20" s="845"/>
      <c r="HU20" s="845"/>
      <c r="HV20" s="845"/>
      <c r="HW20" s="845"/>
      <c r="HX20" s="845"/>
      <c r="HY20" s="845"/>
      <c r="HZ20" s="845"/>
      <c r="IA20" s="845"/>
      <c r="IB20" s="845"/>
      <c r="IC20" s="845"/>
      <c r="ID20" s="845"/>
      <c r="IE20" s="845"/>
      <c r="IF20" s="845"/>
      <c r="IG20" s="845"/>
      <c r="IH20" s="845"/>
      <c r="II20" s="845"/>
      <c r="IJ20" s="845"/>
      <c r="IK20" s="845"/>
      <c r="IL20" s="845"/>
      <c r="IM20" s="845"/>
      <c r="IN20" s="845"/>
      <c r="IO20" s="845"/>
      <c r="IP20" s="845"/>
      <c r="IQ20" s="845"/>
      <c r="IR20" s="845"/>
      <c r="IS20" s="845"/>
      <c r="IT20" s="845"/>
      <c r="IU20" s="845"/>
      <c r="IV20" s="845"/>
    </row>
    <row r="21" spans="1:256" ht="26.25" customHeight="1">
      <c r="A21" s="603" t="s">
        <v>30</v>
      </c>
      <c r="B21" s="603" t="s">
        <v>31</v>
      </c>
      <c r="C21" s="603" t="s">
        <v>32</v>
      </c>
      <c r="D21" s="884">
        <f>COUNT($B$8)+COUNTA($B$8)</f>
        <v>2</v>
      </c>
      <c r="E21" s="1132"/>
      <c r="F21" s="1132"/>
      <c r="G21" s="1132"/>
      <c r="H21" s="1132"/>
      <c r="I21" s="1132"/>
      <c r="J21" s="1132"/>
      <c r="K21" s="1132"/>
      <c r="L21" s="1132"/>
      <c r="M21" s="1132"/>
      <c r="N21" s="1132"/>
      <c r="O21" s="1134"/>
      <c r="P21" s="1134"/>
      <c r="Q21" s="1134"/>
      <c r="R21" s="1134"/>
      <c r="S21" s="1134"/>
      <c r="T21" s="1134"/>
      <c r="U21" s="1134"/>
      <c r="V21" s="1134"/>
      <c r="W21" s="1134"/>
      <c r="X21" s="1134"/>
      <c r="Y21" s="1134"/>
      <c r="Z21" s="1134"/>
      <c r="AA21" s="1134"/>
      <c r="AB21" s="1134"/>
      <c r="AC21" s="1134"/>
      <c r="AD21" s="1134"/>
      <c r="AE21" s="1134"/>
      <c r="AF21" s="1134"/>
      <c r="AG21" s="1134"/>
      <c r="AH21" s="1134"/>
      <c r="AI21" s="1134"/>
      <c r="AJ21" s="1134"/>
      <c r="AK21" s="1134"/>
      <c r="AL21" s="1134"/>
      <c r="AM21" s="1134"/>
      <c r="AN21" s="1134"/>
      <c r="AO21" s="1134"/>
      <c r="AP21" s="1134"/>
      <c r="AQ21" s="1134"/>
      <c r="AR21" s="1134"/>
      <c r="AS21" s="1134"/>
      <c r="AT21" s="1134"/>
      <c r="AU21" s="1134"/>
      <c r="AV21" s="1134"/>
      <c r="AW21" s="1134"/>
      <c r="AX21" s="1134"/>
      <c r="AY21" s="1134"/>
      <c r="AZ21" s="1134"/>
      <c r="BA21" s="1134"/>
      <c r="BB21" s="1134"/>
      <c r="BC21" s="1134"/>
      <c r="BD21" s="1134"/>
      <c r="BE21" s="1134"/>
      <c r="BF21" s="1134"/>
      <c r="BG21" s="1134"/>
      <c r="BH21" s="1134"/>
      <c r="BI21" s="1134"/>
      <c r="BJ21" s="1134"/>
      <c r="BK21" s="1134"/>
      <c r="BL21" s="1134"/>
      <c r="BM21" s="1134"/>
      <c r="BN21" s="1134"/>
      <c r="BO21" s="1134"/>
      <c r="BP21" s="1134"/>
      <c r="BQ21" s="1134"/>
      <c r="BR21" s="1134"/>
      <c r="BS21" s="1134"/>
      <c r="BT21" s="1134"/>
      <c r="BU21" s="1134"/>
      <c r="BV21" s="1134"/>
      <c r="BW21" s="1134"/>
      <c r="BX21" s="1134"/>
      <c r="BY21" s="1134"/>
      <c r="BZ21" s="1134"/>
      <c r="CA21" s="1134"/>
      <c r="CB21" s="1134"/>
      <c r="CC21" s="1134"/>
      <c r="CD21" s="1134"/>
      <c r="CE21" s="1134"/>
      <c r="CF21" s="1134"/>
      <c r="CG21" s="1134"/>
      <c r="CH21" s="1134"/>
      <c r="CI21" s="1134"/>
      <c r="CJ21" s="1134"/>
      <c r="CK21" s="1134"/>
      <c r="CL21" s="1134"/>
      <c r="CM21" s="1134"/>
      <c r="CN21" s="1134"/>
      <c r="CO21" s="1134"/>
      <c r="CP21" s="1134"/>
      <c r="CQ21" s="1134"/>
      <c r="CR21" s="1134"/>
      <c r="CS21" s="1134"/>
      <c r="CT21" s="1134"/>
      <c r="CU21" s="1134"/>
      <c r="CV21" s="1134"/>
      <c r="CW21" s="1134"/>
      <c r="CX21" s="1134"/>
      <c r="CY21" s="1134"/>
      <c r="CZ21" s="1134"/>
      <c r="DA21" s="1134"/>
      <c r="DB21" s="1134"/>
      <c r="DC21" s="1134"/>
      <c r="DD21" s="1134"/>
      <c r="DE21" s="1134"/>
      <c r="DF21" s="1134"/>
      <c r="DG21" s="1134"/>
      <c r="DH21" s="1134"/>
      <c r="DI21" s="1134"/>
      <c r="DJ21" s="1134"/>
      <c r="DK21" s="1134"/>
      <c r="DL21" s="1134"/>
      <c r="DM21" s="1134"/>
      <c r="DN21" s="1134"/>
      <c r="DO21" s="1134"/>
      <c r="DP21" s="1134"/>
      <c r="DQ21" s="1134"/>
      <c r="DR21" s="1134"/>
      <c r="DS21" s="1134"/>
      <c r="DT21" s="1134"/>
      <c r="DU21" s="1134"/>
      <c r="DV21" s="1134"/>
      <c r="DW21" s="1134"/>
      <c r="DX21" s="1134"/>
      <c r="DY21" s="1134"/>
      <c r="DZ21" s="1134"/>
      <c r="EA21" s="1134"/>
      <c r="EB21" s="1134"/>
      <c r="EC21" s="1134"/>
      <c r="ED21" s="1134"/>
      <c r="EE21" s="1134"/>
      <c r="EF21" s="1134"/>
      <c r="EG21" s="1134"/>
      <c r="EH21" s="1134"/>
      <c r="EI21" s="1134"/>
      <c r="EJ21" s="1134"/>
      <c r="EK21" s="1134"/>
      <c r="EL21" s="1134"/>
      <c r="EM21" s="1134"/>
      <c r="EN21" s="1134"/>
      <c r="EO21" s="1134"/>
      <c r="EP21" s="1134"/>
      <c r="EQ21" s="1134"/>
      <c r="ER21" s="1134"/>
      <c r="ES21" s="1134"/>
      <c r="ET21" s="1134"/>
      <c r="EU21" s="1134"/>
      <c r="EV21" s="1134"/>
      <c r="EW21" s="1134"/>
      <c r="EX21" s="1134"/>
      <c r="EY21" s="1134"/>
      <c r="EZ21" s="1134"/>
      <c r="FA21" s="1134"/>
      <c r="FB21" s="1134"/>
      <c r="FC21" s="1134"/>
      <c r="FD21" s="1134"/>
      <c r="FE21" s="1134"/>
      <c r="FF21" s="1134"/>
      <c r="FG21" s="1134"/>
      <c r="FH21" s="1134"/>
      <c r="FI21" s="1134"/>
      <c r="FJ21" s="1134"/>
      <c r="FK21" s="1134"/>
      <c r="FL21" s="1134"/>
      <c r="FM21" s="1134"/>
      <c r="FN21" s="1134"/>
      <c r="FO21" s="1134"/>
      <c r="FP21" s="1134"/>
      <c r="FQ21" s="1134"/>
      <c r="FR21" s="1134"/>
      <c r="FS21" s="1134"/>
      <c r="FT21" s="1134"/>
      <c r="FU21" s="1134"/>
      <c r="FV21" s="1134"/>
      <c r="FW21" s="1134"/>
      <c r="FX21" s="1134"/>
      <c r="FY21" s="1134"/>
      <c r="FZ21" s="1134"/>
      <c r="GA21" s="1134"/>
      <c r="GB21" s="1134"/>
      <c r="GC21" s="1134"/>
      <c r="GD21" s="1134"/>
      <c r="GE21" s="1134"/>
      <c r="GF21" s="1134"/>
      <c r="GG21" s="1134"/>
      <c r="GH21" s="1134"/>
      <c r="GI21" s="1134"/>
      <c r="GJ21" s="1134"/>
      <c r="GK21" s="1134"/>
      <c r="GL21" s="1134"/>
      <c r="GM21" s="1134"/>
      <c r="GN21" s="1134"/>
      <c r="GO21" s="1134"/>
      <c r="GP21" s="1134"/>
      <c r="GQ21" s="1134"/>
      <c r="GR21" s="1134"/>
      <c r="GS21" s="1134"/>
      <c r="GT21" s="1134"/>
      <c r="GU21" s="1134"/>
      <c r="GV21" s="1134"/>
      <c r="GW21" s="1134"/>
      <c r="GX21" s="1134"/>
      <c r="GY21" s="1134"/>
      <c r="GZ21" s="1134"/>
      <c r="HA21" s="1134"/>
      <c r="HB21" s="1134"/>
      <c r="HC21" s="1134"/>
      <c r="HD21" s="1134"/>
      <c r="HE21" s="1134"/>
      <c r="HF21" s="1134"/>
      <c r="HG21" s="1134"/>
      <c r="HH21" s="1134"/>
      <c r="HI21" s="1134"/>
      <c r="HJ21" s="1134"/>
      <c r="HK21" s="1134"/>
      <c r="HL21" s="1134"/>
      <c r="HM21" s="1134"/>
      <c r="HN21" s="1134"/>
      <c r="HO21" s="1134"/>
      <c r="HP21" s="1134"/>
      <c r="HQ21" s="1134"/>
      <c r="HR21" s="1134"/>
      <c r="HS21" s="1134"/>
      <c r="HT21" s="1134"/>
      <c r="HU21" s="1134"/>
      <c r="HV21" s="1134"/>
      <c r="HW21" s="1134"/>
      <c r="HX21" s="1134"/>
      <c r="HY21" s="1134"/>
      <c r="HZ21" s="1134"/>
      <c r="IA21" s="1134"/>
      <c r="IB21" s="1134"/>
      <c r="IC21" s="1134"/>
      <c r="ID21" s="1134"/>
      <c r="IE21" s="1134"/>
      <c r="IF21" s="1134"/>
      <c r="IG21" s="1134"/>
      <c r="IH21" s="1134"/>
      <c r="II21" s="1134"/>
      <c r="IJ21" s="1134"/>
      <c r="IK21" s="1134"/>
      <c r="IL21" s="1134"/>
      <c r="IM21" s="1134"/>
      <c r="IN21" s="1134"/>
      <c r="IO21" s="1134"/>
      <c r="IP21" s="1134"/>
      <c r="IQ21" s="1134"/>
      <c r="IR21" s="1134"/>
      <c r="IS21" s="1134"/>
      <c r="IT21" s="1134"/>
      <c r="IU21" s="1134"/>
      <c r="IV21" s="1134"/>
    </row>
    <row r="22" spans="1:256" ht="22.5" customHeight="1">
      <c r="A22" s="1150" t="s">
        <v>33</v>
      </c>
      <c r="B22" s="969" t="str">
        <f>IF(D22=0,R18,IF(D22=1,R19,R20))</f>
        <v>HAS OK DATA</v>
      </c>
      <c r="C22" s="970"/>
      <c r="D22" s="860">
        <f>IF(D21&lt;2,D21,IF(OR($B$8&lt;100001,$B8&gt;499999),1,D21))</f>
        <v>2</v>
      </c>
      <c r="E22" s="1132"/>
      <c r="F22" s="1132"/>
      <c r="G22" s="1132"/>
      <c r="H22" s="1132"/>
      <c r="I22" s="1132"/>
      <c r="J22" s="1132"/>
      <c r="K22" s="1132"/>
      <c r="L22" s="1132"/>
      <c r="M22" s="1132"/>
      <c r="N22" s="1132"/>
      <c r="O22" s="1134"/>
      <c r="P22" s="1134"/>
      <c r="Q22" s="1134"/>
      <c r="R22" s="1134"/>
      <c r="S22" s="1134"/>
      <c r="T22" s="1134"/>
      <c r="U22" s="1134"/>
      <c r="V22" s="1134"/>
      <c r="W22" s="1134"/>
      <c r="X22" s="1134"/>
      <c r="Y22" s="1134"/>
      <c r="Z22" s="1134"/>
      <c r="AA22" s="1134"/>
      <c r="AB22" s="1134"/>
      <c r="AC22" s="1134"/>
      <c r="AD22" s="1134"/>
      <c r="AE22" s="1134"/>
      <c r="AF22" s="1134"/>
      <c r="AG22" s="1134"/>
      <c r="AH22" s="1134"/>
      <c r="AI22" s="1134"/>
      <c r="AJ22" s="1134"/>
      <c r="AK22" s="1134"/>
      <c r="AL22" s="1134"/>
      <c r="AM22" s="1134"/>
      <c r="AN22" s="1134"/>
      <c r="AO22" s="1134"/>
      <c r="AP22" s="1134"/>
      <c r="AQ22" s="1134"/>
      <c r="AR22" s="1134"/>
      <c r="AS22" s="1134"/>
      <c r="AT22" s="1134"/>
      <c r="AU22" s="1134"/>
      <c r="AV22" s="1134"/>
      <c r="AW22" s="1134"/>
      <c r="AX22" s="1134"/>
      <c r="AY22" s="1134"/>
      <c r="AZ22" s="1134"/>
      <c r="BA22" s="1134"/>
      <c r="BB22" s="1134"/>
      <c r="BC22" s="1134"/>
      <c r="BD22" s="1134"/>
      <c r="BE22" s="1134"/>
      <c r="BF22" s="1134"/>
      <c r="BG22" s="1134"/>
      <c r="BH22" s="1134"/>
      <c r="BI22" s="1134"/>
      <c r="BJ22" s="1134"/>
      <c r="BK22" s="1134"/>
      <c r="BL22" s="1134"/>
      <c r="BM22" s="1134"/>
      <c r="BN22" s="1134"/>
      <c r="BO22" s="1134"/>
      <c r="BP22" s="1134"/>
      <c r="BQ22" s="1134"/>
      <c r="BR22" s="1134"/>
      <c r="BS22" s="1134"/>
      <c r="BT22" s="1134"/>
      <c r="BU22" s="1134"/>
      <c r="BV22" s="1134"/>
      <c r="BW22" s="1134"/>
      <c r="BX22" s="1134"/>
      <c r="BY22" s="1134"/>
      <c r="BZ22" s="1134"/>
      <c r="CA22" s="1134"/>
      <c r="CB22" s="1134"/>
      <c r="CC22" s="1134"/>
      <c r="CD22" s="1134"/>
      <c r="CE22" s="1134"/>
      <c r="CF22" s="1134"/>
      <c r="CG22" s="1134"/>
      <c r="CH22" s="1134"/>
      <c r="CI22" s="1134"/>
      <c r="CJ22" s="1134"/>
      <c r="CK22" s="1134"/>
      <c r="CL22" s="1134"/>
      <c r="CM22" s="1134"/>
      <c r="CN22" s="1134"/>
      <c r="CO22" s="1134"/>
      <c r="CP22" s="1134"/>
      <c r="CQ22" s="1134"/>
      <c r="CR22" s="1134"/>
      <c r="CS22" s="1134"/>
      <c r="CT22" s="1134"/>
      <c r="CU22" s="1134"/>
      <c r="CV22" s="1134"/>
      <c r="CW22" s="1134"/>
      <c r="CX22" s="1134"/>
      <c r="CY22" s="1134"/>
      <c r="CZ22" s="1134"/>
      <c r="DA22" s="1134"/>
      <c r="DB22" s="1134"/>
      <c r="DC22" s="1134"/>
      <c r="DD22" s="1134"/>
      <c r="DE22" s="1134"/>
      <c r="DF22" s="1134"/>
      <c r="DG22" s="1134"/>
      <c r="DH22" s="1134"/>
      <c r="DI22" s="1134"/>
      <c r="DJ22" s="1134"/>
      <c r="DK22" s="1134"/>
      <c r="DL22" s="1134"/>
      <c r="DM22" s="1134"/>
      <c r="DN22" s="1134"/>
      <c r="DO22" s="1134"/>
      <c r="DP22" s="1134"/>
      <c r="DQ22" s="1134"/>
      <c r="DR22" s="1134"/>
      <c r="DS22" s="1134"/>
      <c r="DT22" s="1134"/>
      <c r="DU22" s="1134"/>
      <c r="DV22" s="1134"/>
      <c r="DW22" s="1134"/>
      <c r="DX22" s="1134"/>
      <c r="DY22" s="1134"/>
      <c r="DZ22" s="1134"/>
      <c r="EA22" s="1134"/>
      <c r="EB22" s="1134"/>
      <c r="EC22" s="1134"/>
      <c r="ED22" s="1134"/>
      <c r="EE22" s="1134"/>
      <c r="EF22" s="1134"/>
      <c r="EG22" s="1134"/>
      <c r="EH22" s="1134"/>
      <c r="EI22" s="1134"/>
      <c r="EJ22" s="1134"/>
      <c r="EK22" s="1134"/>
      <c r="EL22" s="1134"/>
      <c r="EM22" s="1134"/>
      <c r="EN22" s="1134"/>
      <c r="EO22" s="1134"/>
      <c r="EP22" s="1134"/>
      <c r="EQ22" s="1134"/>
      <c r="ER22" s="1134"/>
      <c r="ES22" s="1134"/>
      <c r="ET22" s="1134"/>
      <c r="EU22" s="1134"/>
      <c r="EV22" s="1134"/>
      <c r="EW22" s="1134"/>
      <c r="EX22" s="1134"/>
      <c r="EY22" s="1134"/>
      <c r="EZ22" s="1134"/>
      <c r="FA22" s="1134"/>
      <c r="FB22" s="1134"/>
      <c r="FC22" s="1134"/>
      <c r="FD22" s="1134"/>
      <c r="FE22" s="1134"/>
      <c r="FF22" s="1134"/>
      <c r="FG22" s="1134"/>
      <c r="FH22" s="1134"/>
      <c r="FI22" s="1134"/>
      <c r="FJ22" s="1134"/>
      <c r="FK22" s="1134"/>
      <c r="FL22" s="1134"/>
      <c r="FM22" s="1134"/>
      <c r="FN22" s="1134"/>
      <c r="FO22" s="1134"/>
      <c r="FP22" s="1134"/>
      <c r="FQ22" s="1134"/>
      <c r="FR22" s="1134"/>
      <c r="FS22" s="1134"/>
      <c r="FT22" s="1134"/>
      <c r="FU22" s="1134"/>
      <c r="FV22" s="1134"/>
      <c r="FW22" s="1134"/>
      <c r="FX22" s="1134"/>
      <c r="FY22" s="1134"/>
      <c r="FZ22" s="1134"/>
      <c r="GA22" s="1134"/>
      <c r="GB22" s="1134"/>
      <c r="GC22" s="1134"/>
      <c r="GD22" s="1134"/>
      <c r="GE22" s="1134"/>
      <c r="GF22" s="1134"/>
      <c r="GG22" s="1134"/>
      <c r="GH22" s="1134"/>
      <c r="GI22" s="1134"/>
      <c r="GJ22" s="1134"/>
      <c r="GK22" s="1134"/>
      <c r="GL22" s="1134"/>
      <c r="GM22" s="1134"/>
      <c r="GN22" s="1134"/>
      <c r="GO22" s="1134"/>
      <c r="GP22" s="1134"/>
      <c r="GQ22" s="1134"/>
      <c r="GR22" s="1134"/>
      <c r="GS22" s="1134"/>
      <c r="GT22" s="1134"/>
      <c r="GU22" s="1134"/>
      <c r="GV22" s="1134"/>
      <c r="GW22" s="1134"/>
      <c r="GX22" s="1134"/>
      <c r="GY22" s="1134"/>
      <c r="GZ22" s="1134"/>
      <c r="HA22" s="1134"/>
      <c r="HB22" s="1134"/>
      <c r="HC22" s="1134"/>
      <c r="HD22" s="1134"/>
      <c r="HE22" s="1134"/>
      <c r="HF22" s="1134"/>
      <c r="HG22" s="1134"/>
      <c r="HH22" s="1134"/>
      <c r="HI22" s="1134"/>
      <c r="HJ22" s="1134"/>
      <c r="HK22" s="1134"/>
      <c r="HL22" s="1134"/>
      <c r="HM22" s="1134"/>
      <c r="HN22" s="1134"/>
      <c r="HO22" s="1134"/>
      <c r="HP22" s="1134"/>
      <c r="HQ22" s="1134"/>
      <c r="HR22" s="1134"/>
      <c r="HS22" s="1134"/>
      <c r="HT22" s="1134"/>
      <c r="HU22" s="1134"/>
      <c r="HV22" s="1134"/>
      <c r="HW22" s="1134"/>
      <c r="HX22" s="1134"/>
      <c r="HY22" s="1134"/>
      <c r="HZ22" s="1134"/>
      <c r="IA22" s="1134"/>
      <c r="IB22" s="1134"/>
      <c r="IC22" s="1134"/>
      <c r="ID22" s="1134"/>
      <c r="IE22" s="1134"/>
      <c r="IF22" s="1134"/>
      <c r="IG22" s="1134"/>
      <c r="IH22" s="1134"/>
      <c r="II22" s="1134"/>
      <c r="IJ22" s="1134"/>
      <c r="IK22" s="1134"/>
      <c r="IL22" s="1134"/>
      <c r="IM22" s="1134"/>
      <c r="IN22" s="1134"/>
      <c r="IO22" s="1134"/>
      <c r="IP22" s="1134"/>
      <c r="IQ22" s="1134"/>
      <c r="IR22" s="1134"/>
      <c r="IS22" s="1134"/>
      <c r="IT22" s="1134"/>
      <c r="IU22" s="1134"/>
      <c r="IV22" s="1134"/>
    </row>
    <row r="23" spans="1:256" ht="18.95" customHeight="1">
      <c r="A23" s="1150" t="s">
        <v>34</v>
      </c>
      <c r="B23" s="849" t="str">
        <f>IF(D23&gt;0,"has data","NO DATA YET")</f>
        <v>has data</v>
      </c>
      <c r="C23" s="849" t="str">
        <f>IF(D23&gt;0,"ok","")</f>
        <v>ok</v>
      </c>
      <c r="D23" s="856">
        <f>'99'!X1</f>
        <v>1</v>
      </c>
      <c r="E23" s="1132"/>
      <c r="F23" s="1132"/>
      <c r="G23" s="1132"/>
      <c r="H23" s="1132"/>
      <c r="I23" s="1132"/>
      <c r="J23" s="1132"/>
      <c r="K23" s="1132"/>
      <c r="L23" s="1132"/>
      <c r="M23" s="1132"/>
      <c r="N23" s="1132"/>
      <c r="O23" s="1134"/>
      <c r="P23" s="1134"/>
      <c r="Q23" s="1134"/>
      <c r="R23" s="1134"/>
      <c r="S23" s="1134"/>
      <c r="T23" s="1134"/>
      <c r="U23" s="1134"/>
      <c r="V23" s="1134"/>
      <c r="W23" s="1134"/>
      <c r="X23" s="1134"/>
      <c r="Y23" s="1134"/>
      <c r="Z23" s="1134"/>
      <c r="AA23" s="1134"/>
      <c r="AB23" s="1134"/>
      <c r="AC23" s="1134"/>
      <c r="AD23" s="1134"/>
      <c r="AE23" s="1134"/>
      <c r="AF23" s="1134"/>
      <c r="AG23" s="1134"/>
      <c r="AH23" s="1134"/>
      <c r="AI23" s="1134"/>
      <c r="AJ23" s="1134"/>
      <c r="AK23" s="1134"/>
      <c r="AL23" s="1134"/>
      <c r="AM23" s="1134"/>
      <c r="AN23" s="1134"/>
      <c r="AO23" s="1134"/>
      <c r="AP23" s="1134"/>
      <c r="AQ23" s="1134"/>
      <c r="AR23" s="1134"/>
      <c r="AS23" s="1134"/>
      <c r="AT23" s="1134"/>
      <c r="AU23" s="1134"/>
      <c r="AV23" s="1134"/>
      <c r="AW23" s="1134"/>
      <c r="AX23" s="1134"/>
      <c r="AY23" s="1134"/>
      <c r="AZ23" s="1134"/>
      <c r="BA23" s="1134"/>
      <c r="BB23" s="1134"/>
      <c r="BC23" s="1134"/>
      <c r="BD23" s="1134"/>
      <c r="BE23" s="1134"/>
      <c r="BF23" s="1134"/>
      <c r="BG23" s="1134"/>
      <c r="BH23" s="1134"/>
      <c r="BI23" s="1134"/>
      <c r="BJ23" s="1134"/>
      <c r="BK23" s="1134"/>
      <c r="BL23" s="1134"/>
      <c r="BM23" s="1134"/>
      <c r="BN23" s="1134"/>
      <c r="BO23" s="1134"/>
      <c r="BP23" s="1134"/>
      <c r="BQ23" s="1134"/>
      <c r="BR23" s="1134"/>
      <c r="BS23" s="1134"/>
      <c r="BT23" s="1134"/>
      <c r="BU23" s="1134"/>
      <c r="BV23" s="1134"/>
      <c r="BW23" s="1134"/>
      <c r="BX23" s="1134"/>
      <c r="BY23" s="1134"/>
      <c r="BZ23" s="1134"/>
      <c r="CA23" s="1134"/>
      <c r="CB23" s="1134"/>
      <c r="CC23" s="1134"/>
      <c r="CD23" s="1134"/>
      <c r="CE23" s="1134"/>
      <c r="CF23" s="1134"/>
      <c r="CG23" s="1134"/>
      <c r="CH23" s="1134"/>
      <c r="CI23" s="1134"/>
      <c r="CJ23" s="1134"/>
      <c r="CK23" s="1134"/>
      <c r="CL23" s="1134"/>
      <c r="CM23" s="1134"/>
      <c r="CN23" s="1134"/>
      <c r="CO23" s="1134"/>
      <c r="CP23" s="1134"/>
      <c r="CQ23" s="1134"/>
      <c r="CR23" s="1134"/>
      <c r="CS23" s="1134"/>
      <c r="CT23" s="1134"/>
      <c r="CU23" s="1134"/>
      <c r="CV23" s="1134"/>
      <c r="CW23" s="1134"/>
      <c r="CX23" s="1134"/>
      <c r="CY23" s="1134"/>
      <c r="CZ23" s="1134"/>
      <c r="DA23" s="1134"/>
      <c r="DB23" s="1134"/>
      <c r="DC23" s="1134"/>
      <c r="DD23" s="1134"/>
      <c r="DE23" s="1134"/>
      <c r="DF23" s="1134"/>
      <c r="DG23" s="1134"/>
      <c r="DH23" s="1134"/>
      <c r="DI23" s="1134"/>
      <c r="DJ23" s="1134"/>
      <c r="DK23" s="1134"/>
      <c r="DL23" s="1134"/>
      <c r="DM23" s="1134"/>
      <c r="DN23" s="1134"/>
      <c r="DO23" s="1134"/>
      <c r="DP23" s="1134"/>
      <c r="DQ23" s="1134"/>
      <c r="DR23" s="1134"/>
      <c r="DS23" s="1134"/>
      <c r="DT23" s="1134"/>
      <c r="DU23" s="1134"/>
      <c r="DV23" s="1134"/>
      <c r="DW23" s="1134"/>
      <c r="DX23" s="1134"/>
      <c r="DY23" s="1134"/>
      <c r="DZ23" s="1134"/>
      <c r="EA23" s="1134"/>
      <c r="EB23" s="1134"/>
      <c r="EC23" s="1134"/>
      <c r="ED23" s="1134"/>
      <c r="EE23" s="1134"/>
      <c r="EF23" s="1134"/>
      <c r="EG23" s="1134"/>
      <c r="EH23" s="1134"/>
      <c r="EI23" s="1134"/>
      <c r="EJ23" s="1134"/>
      <c r="EK23" s="1134"/>
      <c r="EL23" s="1134"/>
      <c r="EM23" s="1134"/>
      <c r="EN23" s="1134"/>
      <c r="EO23" s="1134"/>
      <c r="EP23" s="1134"/>
      <c r="EQ23" s="1134"/>
      <c r="ER23" s="1134"/>
      <c r="ES23" s="1134"/>
      <c r="ET23" s="1134"/>
      <c r="EU23" s="1134"/>
      <c r="EV23" s="1134"/>
      <c r="EW23" s="1134"/>
      <c r="EX23" s="1134"/>
      <c r="EY23" s="1134"/>
      <c r="EZ23" s="1134"/>
      <c r="FA23" s="1134"/>
      <c r="FB23" s="1134"/>
      <c r="FC23" s="1134"/>
      <c r="FD23" s="1134"/>
      <c r="FE23" s="1134"/>
      <c r="FF23" s="1134"/>
      <c r="FG23" s="1134"/>
      <c r="FH23" s="1134"/>
      <c r="FI23" s="1134"/>
      <c r="FJ23" s="1134"/>
      <c r="FK23" s="1134"/>
      <c r="FL23" s="1134"/>
      <c r="FM23" s="1134"/>
      <c r="FN23" s="1134"/>
      <c r="FO23" s="1134"/>
      <c r="FP23" s="1134"/>
      <c r="FQ23" s="1134"/>
      <c r="FR23" s="1134"/>
      <c r="FS23" s="1134"/>
      <c r="FT23" s="1134"/>
      <c r="FU23" s="1134"/>
      <c r="FV23" s="1134"/>
      <c r="FW23" s="1134"/>
      <c r="FX23" s="1134"/>
      <c r="FY23" s="1134"/>
      <c r="FZ23" s="1134"/>
      <c r="GA23" s="1134"/>
      <c r="GB23" s="1134"/>
      <c r="GC23" s="1134"/>
      <c r="GD23" s="1134"/>
      <c r="GE23" s="1134"/>
      <c r="GF23" s="1134"/>
      <c r="GG23" s="1134"/>
      <c r="GH23" s="1134"/>
      <c r="GI23" s="1134"/>
      <c r="GJ23" s="1134"/>
      <c r="GK23" s="1134"/>
      <c r="GL23" s="1134"/>
      <c r="GM23" s="1134"/>
      <c r="GN23" s="1134"/>
      <c r="GO23" s="1134"/>
      <c r="GP23" s="1134"/>
      <c r="GQ23" s="1134"/>
      <c r="GR23" s="1134"/>
      <c r="GS23" s="1134"/>
      <c r="GT23" s="1134"/>
      <c r="GU23" s="1134"/>
      <c r="GV23" s="1134"/>
      <c r="GW23" s="1134"/>
      <c r="GX23" s="1134"/>
      <c r="GY23" s="1134"/>
      <c r="GZ23" s="1134"/>
      <c r="HA23" s="1134"/>
      <c r="HB23" s="1134"/>
      <c r="HC23" s="1134"/>
      <c r="HD23" s="1134"/>
      <c r="HE23" s="1134"/>
      <c r="HF23" s="1134"/>
      <c r="HG23" s="1134"/>
      <c r="HH23" s="1134"/>
      <c r="HI23" s="1134"/>
      <c r="HJ23" s="1134"/>
      <c r="HK23" s="1134"/>
      <c r="HL23" s="1134"/>
      <c r="HM23" s="1134"/>
      <c r="HN23" s="1134"/>
      <c r="HO23" s="1134"/>
      <c r="HP23" s="1134"/>
      <c r="HQ23" s="1134"/>
      <c r="HR23" s="1134"/>
      <c r="HS23" s="1134"/>
      <c r="HT23" s="1134"/>
      <c r="HU23" s="1134"/>
      <c r="HV23" s="1134"/>
      <c r="HW23" s="1134"/>
      <c r="HX23" s="1134"/>
      <c r="HY23" s="1134"/>
      <c r="HZ23" s="1134"/>
      <c r="IA23" s="1134"/>
      <c r="IB23" s="1134"/>
      <c r="IC23" s="1134"/>
      <c r="ID23" s="1134"/>
      <c r="IE23" s="1134"/>
      <c r="IF23" s="1134"/>
      <c r="IG23" s="1134"/>
      <c r="IH23" s="1134"/>
      <c r="II23" s="1134"/>
      <c r="IJ23" s="1134"/>
      <c r="IK23" s="1134"/>
      <c r="IL23" s="1134"/>
      <c r="IM23" s="1134"/>
      <c r="IN23" s="1134"/>
      <c r="IO23" s="1134"/>
      <c r="IP23" s="1134"/>
      <c r="IQ23" s="1134"/>
      <c r="IR23" s="1134"/>
      <c r="IS23" s="1134"/>
      <c r="IT23" s="1134"/>
      <c r="IU23" s="1134"/>
      <c r="IV23" s="1134"/>
    </row>
    <row r="24" spans="1:256" ht="18.95" customHeight="1">
      <c r="A24" s="1150" t="s">
        <v>35</v>
      </c>
      <c r="B24" s="849" t="str">
        <f t="shared" ref="B24:B33" si="0">IF(D24&gt;0,"has data","NO DATA YET")</f>
        <v>has data</v>
      </c>
      <c r="C24" s="849" t="str">
        <f>IF(D24&gt;0,"ok","")</f>
        <v>ok</v>
      </c>
      <c r="D24" s="857">
        <f>SUM('13'!X1,'14'!X1,Law!X1,'26'!X1,'27'!X1,'40'!X1,Den!X1,Med!X1,'52'!X1)</f>
        <v>5</v>
      </c>
      <c r="E24" s="1132"/>
      <c r="F24" s="1132"/>
      <c r="G24" s="1132"/>
      <c r="H24" s="1132"/>
      <c r="I24" s="1132"/>
      <c r="J24" s="1132"/>
      <c r="K24" s="1132"/>
      <c r="L24" s="1132"/>
      <c r="M24" s="1132"/>
      <c r="N24" s="1132"/>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1134"/>
      <c r="BA24" s="1134"/>
      <c r="BB24" s="1134"/>
      <c r="BC24" s="1134"/>
      <c r="BD24" s="1134"/>
      <c r="BE24" s="1134"/>
      <c r="BF24" s="1134"/>
      <c r="BG24" s="1134"/>
      <c r="BH24" s="1134"/>
      <c r="BI24" s="1134"/>
      <c r="BJ24" s="1134"/>
      <c r="BK24" s="1134"/>
      <c r="BL24" s="1134"/>
      <c r="BM24" s="1134"/>
      <c r="BN24" s="1134"/>
      <c r="BO24" s="1134"/>
      <c r="BP24" s="1134"/>
      <c r="BQ24" s="1134"/>
      <c r="BR24" s="1134"/>
      <c r="BS24" s="1134"/>
      <c r="BT24" s="1134"/>
      <c r="BU24" s="1134"/>
      <c r="BV24" s="1134"/>
      <c r="BW24" s="1134"/>
      <c r="BX24" s="1134"/>
      <c r="BY24" s="1134"/>
      <c r="BZ24" s="1134"/>
      <c r="CA24" s="1134"/>
      <c r="CB24" s="1134"/>
      <c r="CC24" s="1134"/>
      <c r="CD24" s="1134"/>
      <c r="CE24" s="1134"/>
      <c r="CF24" s="1134"/>
      <c r="CG24" s="1134"/>
      <c r="CH24" s="1134"/>
      <c r="CI24" s="1134"/>
      <c r="CJ24" s="1134"/>
      <c r="CK24" s="1134"/>
      <c r="CL24" s="1134"/>
      <c r="CM24" s="1134"/>
      <c r="CN24" s="1134"/>
      <c r="CO24" s="1134"/>
      <c r="CP24" s="1134"/>
      <c r="CQ24" s="1134"/>
      <c r="CR24" s="1134"/>
      <c r="CS24" s="1134"/>
      <c r="CT24" s="1134"/>
      <c r="CU24" s="1134"/>
      <c r="CV24" s="1134"/>
      <c r="CW24" s="1134"/>
      <c r="CX24" s="1134"/>
      <c r="CY24" s="1134"/>
      <c r="CZ24" s="1134"/>
      <c r="DA24" s="1134"/>
      <c r="DB24" s="1134"/>
      <c r="DC24" s="1134"/>
      <c r="DD24" s="1134"/>
      <c r="DE24" s="1134"/>
      <c r="DF24" s="1134"/>
      <c r="DG24" s="1134"/>
      <c r="DH24" s="1134"/>
      <c r="DI24" s="1134"/>
      <c r="DJ24" s="1134"/>
      <c r="DK24" s="1134"/>
      <c r="DL24" s="1134"/>
      <c r="DM24" s="1134"/>
      <c r="DN24" s="1134"/>
      <c r="DO24" s="1134"/>
      <c r="DP24" s="1134"/>
      <c r="DQ24" s="1134"/>
      <c r="DR24" s="1134"/>
      <c r="DS24" s="1134"/>
      <c r="DT24" s="1134"/>
      <c r="DU24" s="1134"/>
      <c r="DV24" s="1134"/>
      <c r="DW24" s="1134"/>
      <c r="DX24" s="1134"/>
      <c r="DY24" s="1134"/>
      <c r="DZ24" s="1134"/>
      <c r="EA24" s="1134"/>
      <c r="EB24" s="1134"/>
      <c r="EC24" s="1134"/>
      <c r="ED24" s="1134"/>
      <c r="EE24" s="1134"/>
      <c r="EF24" s="1134"/>
      <c r="EG24" s="1134"/>
      <c r="EH24" s="1134"/>
      <c r="EI24" s="1134"/>
      <c r="EJ24" s="1134"/>
      <c r="EK24" s="1134"/>
      <c r="EL24" s="1134"/>
      <c r="EM24" s="1134"/>
      <c r="EN24" s="1134"/>
      <c r="EO24" s="1134"/>
      <c r="EP24" s="1134"/>
      <c r="EQ24" s="1134"/>
      <c r="ER24" s="1134"/>
      <c r="ES24" s="1134"/>
      <c r="ET24" s="1134"/>
      <c r="EU24" s="1134"/>
      <c r="EV24" s="1134"/>
      <c r="EW24" s="1134"/>
      <c r="EX24" s="1134"/>
      <c r="EY24" s="1134"/>
      <c r="EZ24" s="1134"/>
      <c r="FA24" s="1134"/>
      <c r="FB24" s="1134"/>
      <c r="FC24" s="1134"/>
      <c r="FD24" s="1134"/>
      <c r="FE24" s="1134"/>
      <c r="FF24" s="1134"/>
      <c r="FG24" s="1134"/>
      <c r="FH24" s="1134"/>
      <c r="FI24" s="1134"/>
      <c r="FJ24" s="1134"/>
      <c r="FK24" s="1134"/>
      <c r="FL24" s="1134"/>
      <c r="FM24" s="1134"/>
      <c r="FN24" s="1134"/>
      <c r="FO24" s="1134"/>
      <c r="FP24" s="1134"/>
      <c r="FQ24" s="1134"/>
      <c r="FR24" s="1134"/>
      <c r="FS24" s="1134"/>
      <c r="FT24" s="1134"/>
      <c r="FU24" s="1134"/>
      <c r="FV24" s="1134"/>
      <c r="FW24" s="1134"/>
      <c r="FX24" s="1134"/>
      <c r="FY24" s="1134"/>
      <c r="FZ24" s="1134"/>
      <c r="GA24" s="1134"/>
      <c r="GB24" s="1134"/>
      <c r="GC24" s="1134"/>
      <c r="GD24" s="1134"/>
      <c r="GE24" s="1134"/>
      <c r="GF24" s="1134"/>
      <c r="GG24" s="1134"/>
      <c r="GH24" s="1134"/>
      <c r="GI24" s="1134"/>
      <c r="GJ24" s="1134"/>
      <c r="GK24" s="1134"/>
      <c r="GL24" s="1134"/>
      <c r="GM24" s="1134"/>
      <c r="GN24" s="1134"/>
      <c r="GO24" s="1134"/>
      <c r="GP24" s="1134"/>
      <c r="GQ24" s="1134"/>
      <c r="GR24" s="1134"/>
      <c r="GS24" s="1134"/>
      <c r="GT24" s="1134"/>
      <c r="GU24" s="1134"/>
      <c r="GV24" s="1134"/>
      <c r="GW24" s="1134"/>
      <c r="GX24" s="1134"/>
      <c r="GY24" s="1134"/>
      <c r="GZ24" s="1134"/>
      <c r="HA24" s="1134"/>
      <c r="HB24" s="1134"/>
      <c r="HC24" s="1134"/>
      <c r="HD24" s="1134"/>
      <c r="HE24" s="1134"/>
      <c r="HF24" s="1134"/>
      <c r="HG24" s="1134"/>
      <c r="HH24" s="1134"/>
      <c r="HI24" s="1134"/>
      <c r="HJ24" s="1134"/>
      <c r="HK24" s="1134"/>
      <c r="HL24" s="1134"/>
      <c r="HM24" s="1134"/>
      <c r="HN24" s="1134"/>
      <c r="HO24" s="1134"/>
      <c r="HP24" s="1134"/>
      <c r="HQ24" s="1134"/>
      <c r="HR24" s="1134"/>
      <c r="HS24" s="1134"/>
      <c r="HT24" s="1134"/>
      <c r="HU24" s="1134"/>
      <c r="HV24" s="1134"/>
      <c r="HW24" s="1134"/>
      <c r="HX24" s="1134"/>
      <c r="HY24" s="1134"/>
      <c r="HZ24" s="1134"/>
      <c r="IA24" s="1134"/>
      <c r="IB24" s="1134"/>
      <c r="IC24" s="1134"/>
      <c r="ID24" s="1134"/>
      <c r="IE24" s="1134"/>
      <c r="IF24" s="1134"/>
      <c r="IG24" s="1134"/>
      <c r="IH24" s="1134"/>
      <c r="II24" s="1134"/>
      <c r="IJ24" s="1134"/>
      <c r="IK24" s="1134"/>
      <c r="IL24" s="1134"/>
      <c r="IM24" s="1134"/>
      <c r="IN24" s="1134"/>
      <c r="IO24" s="1134"/>
      <c r="IP24" s="1134"/>
      <c r="IQ24" s="1134"/>
      <c r="IR24" s="1134"/>
      <c r="IS24" s="1134"/>
      <c r="IT24" s="1134"/>
      <c r="IU24" s="1134"/>
      <c r="IV24" s="1134"/>
    </row>
    <row r="25" spans="1:256" ht="18.95" customHeight="1">
      <c r="A25" s="1150" t="s">
        <v>36</v>
      </c>
      <c r="B25" s="849" t="str">
        <f t="shared" si="0"/>
        <v>has data</v>
      </c>
      <c r="C25" s="849" t="str">
        <f>IF(D25=0,"",IF(ErrRpt!C7&gt;0,"ERROR","ok"))</f>
        <v>ok</v>
      </c>
      <c r="D25" s="858">
        <f>+D23</f>
        <v>1</v>
      </c>
      <c r="E25" s="1132"/>
      <c r="F25" s="1132"/>
      <c r="G25" s="1132"/>
      <c r="H25" s="1132"/>
      <c r="I25" s="1132"/>
      <c r="J25" s="1132"/>
      <c r="K25" s="1132"/>
      <c r="L25" s="1132"/>
      <c r="M25" s="1132"/>
      <c r="N25" s="1132"/>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1134"/>
      <c r="BK25" s="1134"/>
      <c r="BL25" s="1134"/>
      <c r="BM25" s="1134"/>
      <c r="BN25" s="1134"/>
      <c r="BO25" s="1134"/>
      <c r="BP25" s="1134"/>
      <c r="BQ25" s="1134"/>
      <c r="BR25" s="1134"/>
      <c r="BS25" s="1134"/>
      <c r="BT25" s="1134"/>
      <c r="BU25" s="1134"/>
      <c r="BV25" s="1134"/>
      <c r="BW25" s="1134"/>
      <c r="BX25" s="1134"/>
      <c r="BY25" s="1134"/>
      <c r="BZ25" s="1134"/>
      <c r="CA25" s="1134"/>
      <c r="CB25" s="1134"/>
      <c r="CC25" s="1134"/>
      <c r="CD25" s="1134"/>
      <c r="CE25" s="1134"/>
      <c r="CF25" s="1134"/>
      <c r="CG25" s="1134"/>
      <c r="CH25" s="1134"/>
      <c r="CI25" s="1134"/>
      <c r="CJ25" s="1134"/>
      <c r="CK25" s="1134"/>
      <c r="CL25" s="1134"/>
      <c r="CM25" s="1134"/>
      <c r="CN25" s="1134"/>
      <c r="CO25" s="1134"/>
      <c r="CP25" s="1134"/>
      <c r="CQ25" s="1134"/>
      <c r="CR25" s="1134"/>
      <c r="CS25" s="1134"/>
      <c r="CT25" s="1134"/>
      <c r="CU25" s="1134"/>
      <c r="CV25" s="1134"/>
      <c r="CW25" s="1134"/>
      <c r="CX25" s="1134"/>
      <c r="CY25" s="1134"/>
      <c r="CZ25" s="1134"/>
      <c r="DA25" s="1134"/>
      <c r="DB25" s="1134"/>
      <c r="DC25" s="1134"/>
      <c r="DD25" s="1134"/>
      <c r="DE25" s="1134"/>
      <c r="DF25" s="1134"/>
      <c r="DG25" s="1134"/>
      <c r="DH25" s="1134"/>
      <c r="DI25" s="1134"/>
      <c r="DJ25" s="1134"/>
      <c r="DK25" s="1134"/>
      <c r="DL25" s="1134"/>
      <c r="DM25" s="1134"/>
      <c r="DN25" s="1134"/>
      <c r="DO25" s="1134"/>
      <c r="DP25" s="1134"/>
      <c r="DQ25" s="1134"/>
      <c r="DR25" s="1134"/>
      <c r="DS25" s="1134"/>
      <c r="DT25" s="1134"/>
      <c r="DU25" s="1134"/>
      <c r="DV25" s="1134"/>
      <c r="DW25" s="1134"/>
      <c r="DX25" s="1134"/>
      <c r="DY25" s="1134"/>
      <c r="DZ25" s="1134"/>
      <c r="EA25" s="1134"/>
      <c r="EB25" s="1134"/>
      <c r="EC25" s="1134"/>
      <c r="ED25" s="1134"/>
      <c r="EE25" s="1134"/>
      <c r="EF25" s="1134"/>
      <c r="EG25" s="1134"/>
      <c r="EH25" s="1134"/>
      <c r="EI25" s="1134"/>
      <c r="EJ25" s="1134"/>
      <c r="EK25" s="1134"/>
      <c r="EL25" s="1134"/>
      <c r="EM25" s="1134"/>
      <c r="EN25" s="1134"/>
      <c r="EO25" s="1134"/>
      <c r="EP25" s="1134"/>
      <c r="EQ25" s="1134"/>
      <c r="ER25" s="1134"/>
      <c r="ES25" s="1134"/>
      <c r="ET25" s="1134"/>
      <c r="EU25" s="1134"/>
      <c r="EV25" s="1134"/>
      <c r="EW25" s="1134"/>
      <c r="EX25" s="1134"/>
      <c r="EY25" s="1134"/>
      <c r="EZ25" s="1134"/>
      <c r="FA25" s="1134"/>
      <c r="FB25" s="1134"/>
      <c r="FC25" s="1134"/>
      <c r="FD25" s="1134"/>
      <c r="FE25" s="1134"/>
      <c r="FF25" s="1134"/>
      <c r="FG25" s="1134"/>
      <c r="FH25" s="1134"/>
      <c r="FI25" s="1134"/>
      <c r="FJ25" s="1134"/>
      <c r="FK25" s="1134"/>
      <c r="FL25" s="1134"/>
      <c r="FM25" s="1134"/>
      <c r="FN25" s="1134"/>
      <c r="FO25" s="1134"/>
      <c r="FP25" s="1134"/>
      <c r="FQ25" s="1134"/>
      <c r="FR25" s="1134"/>
      <c r="FS25" s="1134"/>
      <c r="FT25" s="1134"/>
      <c r="FU25" s="1134"/>
      <c r="FV25" s="1134"/>
      <c r="FW25" s="1134"/>
      <c r="FX25" s="1134"/>
      <c r="FY25" s="1134"/>
      <c r="FZ25" s="1134"/>
      <c r="GA25" s="1134"/>
      <c r="GB25" s="1134"/>
      <c r="GC25" s="1134"/>
      <c r="GD25" s="1134"/>
      <c r="GE25" s="1134"/>
      <c r="GF25" s="1134"/>
      <c r="GG25" s="1134"/>
      <c r="GH25" s="1134"/>
      <c r="GI25" s="1134"/>
      <c r="GJ25" s="1134"/>
      <c r="GK25" s="1134"/>
      <c r="GL25" s="1134"/>
      <c r="GM25" s="1134"/>
      <c r="GN25" s="1134"/>
      <c r="GO25" s="1134"/>
      <c r="GP25" s="1134"/>
      <c r="GQ25" s="1134"/>
      <c r="GR25" s="1134"/>
      <c r="GS25" s="1134"/>
      <c r="GT25" s="1134"/>
      <c r="GU25" s="1134"/>
      <c r="GV25" s="1134"/>
      <c r="GW25" s="1134"/>
      <c r="GX25" s="1134"/>
      <c r="GY25" s="1134"/>
      <c r="GZ25" s="1134"/>
      <c r="HA25" s="1134"/>
      <c r="HB25" s="1134"/>
      <c r="HC25" s="1134"/>
      <c r="HD25" s="1134"/>
      <c r="HE25" s="1134"/>
      <c r="HF25" s="1134"/>
      <c r="HG25" s="1134"/>
      <c r="HH25" s="1134"/>
      <c r="HI25" s="1134"/>
      <c r="HJ25" s="1134"/>
      <c r="HK25" s="1134"/>
      <c r="HL25" s="1134"/>
      <c r="HM25" s="1134"/>
      <c r="HN25" s="1134"/>
      <c r="HO25" s="1134"/>
      <c r="HP25" s="1134"/>
      <c r="HQ25" s="1134"/>
      <c r="HR25" s="1134"/>
      <c r="HS25" s="1134"/>
      <c r="HT25" s="1134"/>
      <c r="HU25" s="1134"/>
      <c r="HV25" s="1134"/>
      <c r="HW25" s="1134"/>
      <c r="HX25" s="1134"/>
      <c r="HY25" s="1134"/>
      <c r="HZ25" s="1134"/>
      <c r="IA25" s="1134"/>
      <c r="IB25" s="1134"/>
      <c r="IC25" s="1134"/>
      <c r="ID25" s="1134"/>
      <c r="IE25" s="1134"/>
      <c r="IF25" s="1134"/>
      <c r="IG25" s="1134"/>
      <c r="IH25" s="1134"/>
      <c r="II25" s="1134"/>
      <c r="IJ25" s="1134"/>
      <c r="IK25" s="1134"/>
      <c r="IL25" s="1134"/>
      <c r="IM25" s="1134"/>
      <c r="IN25" s="1134"/>
      <c r="IO25" s="1134"/>
      <c r="IP25" s="1134"/>
      <c r="IQ25" s="1134"/>
      <c r="IR25" s="1134"/>
      <c r="IS25" s="1134"/>
      <c r="IT25" s="1134"/>
      <c r="IU25" s="1134"/>
      <c r="IV25" s="1134"/>
    </row>
    <row r="26" spans="1:256" ht="18.95" customHeight="1">
      <c r="A26" s="1150" t="s">
        <v>37</v>
      </c>
      <c r="B26" s="849" t="str">
        <f t="shared" si="0"/>
        <v>has data</v>
      </c>
      <c r="C26" s="849" t="str">
        <f>IF(D26=0,"",IF(Age!M3&gt;0,"ERROR","ok"))</f>
        <v>ok</v>
      </c>
      <c r="D26" s="858">
        <f>Age!M1</f>
        <v>1</v>
      </c>
      <c r="E26" s="1132"/>
      <c r="F26" s="1132"/>
      <c r="G26" s="1132"/>
      <c r="H26" s="1132"/>
      <c r="I26" s="1132"/>
      <c r="J26" s="1132"/>
      <c r="K26" s="1132"/>
      <c r="L26" s="1132"/>
      <c r="M26" s="1132"/>
      <c r="N26" s="1132"/>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1134"/>
      <c r="AU26" s="1134"/>
      <c r="AV26" s="1134"/>
      <c r="AW26" s="1134"/>
      <c r="AX26" s="1134"/>
      <c r="AY26" s="1134"/>
      <c r="AZ26" s="1134"/>
      <c r="BA26" s="1134"/>
      <c r="BB26" s="1134"/>
      <c r="BC26" s="1134"/>
      <c r="BD26" s="1134"/>
      <c r="BE26" s="1134"/>
      <c r="BF26" s="1134"/>
      <c r="BG26" s="1134"/>
      <c r="BH26" s="1134"/>
      <c r="BI26" s="1134"/>
      <c r="BJ26" s="1134"/>
      <c r="BK26" s="1134"/>
      <c r="BL26" s="1134"/>
      <c r="BM26" s="1134"/>
      <c r="BN26" s="1134"/>
      <c r="BO26" s="1134"/>
      <c r="BP26" s="1134"/>
      <c r="BQ26" s="1134"/>
      <c r="BR26" s="1134"/>
      <c r="BS26" s="1134"/>
      <c r="BT26" s="1134"/>
      <c r="BU26" s="1134"/>
      <c r="BV26" s="1134"/>
      <c r="BW26" s="1134"/>
      <c r="BX26" s="1134"/>
      <c r="BY26" s="1134"/>
      <c r="BZ26" s="1134"/>
      <c r="CA26" s="1134"/>
      <c r="CB26" s="1134"/>
      <c r="CC26" s="1134"/>
      <c r="CD26" s="1134"/>
      <c r="CE26" s="1134"/>
      <c r="CF26" s="1134"/>
      <c r="CG26" s="1134"/>
      <c r="CH26" s="1134"/>
      <c r="CI26" s="1134"/>
      <c r="CJ26" s="1134"/>
      <c r="CK26" s="1134"/>
      <c r="CL26" s="1134"/>
      <c r="CM26" s="1134"/>
      <c r="CN26" s="1134"/>
      <c r="CO26" s="1134"/>
      <c r="CP26" s="1134"/>
      <c r="CQ26" s="1134"/>
      <c r="CR26" s="1134"/>
      <c r="CS26" s="1134"/>
      <c r="CT26" s="1134"/>
      <c r="CU26" s="1134"/>
      <c r="CV26" s="1134"/>
      <c r="CW26" s="1134"/>
      <c r="CX26" s="1134"/>
      <c r="CY26" s="1134"/>
      <c r="CZ26" s="1134"/>
      <c r="DA26" s="1134"/>
      <c r="DB26" s="1134"/>
      <c r="DC26" s="1134"/>
      <c r="DD26" s="1134"/>
      <c r="DE26" s="1134"/>
      <c r="DF26" s="1134"/>
      <c r="DG26" s="1134"/>
      <c r="DH26" s="1134"/>
      <c r="DI26" s="1134"/>
      <c r="DJ26" s="1134"/>
      <c r="DK26" s="1134"/>
      <c r="DL26" s="1134"/>
      <c r="DM26" s="1134"/>
      <c r="DN26" s="1134"/>
      <c r="DO26" s="1134"/>
      <c r="DP26" s="1134"/>
      <c r="DQ26" s="1134"/>
      <c r="DR26" s="1134"/>
      <c r="DS26" s="1134"/>
      <c r="DT26" s="1134"/>
      <c r="DU26" s="1134"/>
      <c r="DV26" s="1134"/>
      <c r="DW26" s="1134"/>
      <c r="DX26" s="1134"/>
      <c r="DY26" s="1134"/>
      <c r="DZ26" s="1134"/>
      <c r="EA26" s="1134"/>
      <c r="EB26" s="1134"/>
      <c r="EC26" s="1134"/>
      <c r="ED26" s="1134"/>
      <c r="EE26" s="1134"/>
      <c r="EF26" s="1134"/>
      <c r="EG26" s="1134"/>
      <c r="EH26" s="1134"/>
      <c r="EI26" s="1134"/>
      <c r="EJ26" s="1134"/>
      <c r="EK26" s="1134"/>
      <c r="EL26" s="1134"/>
      <c r="EM26" s="1134"/>
      <c r="EN26" s="1134"/>
      <c r="EO26" s="1134"/>
      <c r="EP26" s="1134"/>
      <c r="EQ26" s="1134"/>
      <c r="ER26" s="1134"/>
      <c r="ES26" s="1134"/>
      <c r="ET26" s="1134"/>
      <c r="EU26" s="1134"/>
      <c r="EV26" s="1134"/>
      <c r="EW26" s="1134"/>
      <c r="EX26" s="1134"/>
      <c r="EY26" s="1134"/>
      <c r="EZ26" s="1134"/>
      <c r="FA26" s="1134"/>
      <c r="FB26" s="1134"/>
      <c r="FC26" s="1134"/>
      <c r="FD26" s="1134"/>
      <c r="FE26" s="1134"/>
      <c r="FF26" s="1134"/>
      <c r="FG26" s="1134"/>
      <c r="FH26" s="1134"/>
      <c r="FI26" s="1134"/>
      <c r="FJ26" s="1134"/>
      <c r="FK26" s="1134"/>
      <c r="FL26" s="1134"/>
      <c r="FM26" s="1134"/>
      <c r="FN26" s="1134"/>
      <c r="FO26" s="1134"/>
      <c r="FP26" s="1134"/>
      <c r="FQ26" s="1134"/>
      <c r="FR26" s="1134"/>
      <c r="FS26" s="1134"/>
      <c r="FT26" s="1134"/>
      <c r="FU26" s="1134"/>
      <c r="FV26" s="1134"/>
      <c r="FW26" s="1134"/>
      <c r="FX26" s="1134"/>
      <c r="FY26" s="1134"/>
      <c r="FZ26" s="1134"/>
      <c r="GA26" s="1134"/>
      <c r="GB26" s="1134"/>
      <c r="GC26" s="1134"/>
      <c r="GD26" s="1134"/>
      <c r="GE26" s="1134"/>
      <c r="GF26" s="1134"/>
      <c r="GG26" s="1134"/>
      <c r="GH26" s="1134"/>
      <c r="GI26" s="1134"/>
      <c r="GJ26" s="1134"/>
      <c r="GK26" s="1134"/>
      <c r="GL26" s="1134"/>
      <c r="GM26" s="1134"/>
      <c r="GN26" s="1134"/>
      <c r="GO26" s="1134"/>
      <c r="GP26" s="1134"/>
      <c r="GQ26" s="1134"/>
      <c r="GR26" s="1134"/>
      <c r="GS26" s="1134"/>
      <c r="GT26" s="1134"/>
      <c r="GU26" s="1134"/>
      <c r="GV26" s="1134"/>
      <c r="GW26" s="1134"/>
      <c r="GX26" s="1134"/>
      <c r="GY26" s="1134"/>
      <c r="GZ26" s="1134"/>
      <c r="HA26" s="1134"/>
      <c r="HB26" s="1134"/>
      <c r="HC26" s="1134"/>
      <c r="HD26" s="1134"/>
      <c r="HE26" s="1134"/>
      <c r="HF26" s="1134"/>
      <c r="HG26" s="1134"/>
      <c r="HH26" s="1134"/>
      <c r="HI26" s="1134"/>
      <c r="HJ26" s="1134"/>
      <c r="HK26" s="1134"/>
      <c r="HL26" s="1134"/>
      <c r="HM26" s="1134"/>
      <c r="HN26" s="1134"/>
      <c r="HO26" s="1134"/>
      <c r="HP26" s="1134"/>
      <c r="HQ26" s="1134"/>
      <c r="HR26" s="1134"/>
      <c r="HS26" s="1134"/>
      <c r="HT26" s="1134"/>
      <c r="HU26" s="1134"/>
      <c r="HV26" s="1134"/>
      <c r="HW26" s="1134"/>
      <c r="HX26" s="1134"/>
      <c r="HY26" s="1134"/>
      <c r="HZ26" s="1134"/>
      <c r="IA26" s="1134"/>
      <c r="IB26" s="1134"/>
      <c r="IC26" s="1134"/>
      <c r="ID26" s="1134"/>
      <c r="IE26" s="1134"/>
      <c r="IF26" s="1134"/>
      <c r="IG26" s="1134"/>
      <c r="IH26" s="1134"/>
      <c r="II26" s="1134"/>
      <c r="IJ26" s="1134"/>
      <c r="IK26" s="1134"/>
      <c r="IL26" s="1134"/>
      <c r="IM26" s="1134"/>
      <c r="IN26" s="1134"/>
      <c r="IO26" s="1134"/>
      <c r="IP26" s="1134"/>
      <c r="IQ26" s="1134"/>
      <c r="IR26" s="1134"/>
      <c r="IS26" s="1134"/>
      <c r="IT26" s="1134"/>
      <c r="IU26" s="1134"/>
      <c r="IV26" s="1134"/>
    </row>
    <row r="27" spans="1:256" ht="18.95" customHeight="1">
      <c r="A27" s="859" t="s">
        <v>38</v>
      </c>
      <c r="B27" s="849" t="str">
        <f t="shared" si="0"/>
        <v>has data</v>
      </c>
      <c r="C27" s="849" t="str">
        <f>IF(D27=0,"",IF('Res 1st-T'!E3&gt;0,"ERROR","ok"))</f>
        <v>ok</v>
      </c>
      <c r="D27" s="856">
        <f>'Res 1st-T'!E1</f>
        <v>1</v>
      </c>
      <c r="E27" s="1132"/>
      <c r="F27" s="1132"/>
      <c r="G27" s="1132"/>
      <c r="H27" s="1132"/>
      <c r="I27" s="1132"/>
      <c r="J27" s="1132"/>
      <c r="K27" s="1132"/>
      <c r="L27" s="1132"/>
      <c r="M27" s="1132"/>
      <c r="N27" s="1132"/>
      <c r="O27" s="1134"/>
      <c r="P27" s="1134"/>
      <c r="Q27" s="1134"/>
      <c r="R27" s="1134"/>
      <c r="S27" s="1134"/>
      <c r="T27" s="1134"/>
      <c r="U27" s="1134"/>
      <c r="V27" s="1134"/>
      <c r="W27" s="1134"/>
      <c r="X27" s="1134"/>
      <c r="Y27" s="1134"/>
      <c r="Z27" s="1134"/>
      <c r="AA27" s="1134"/>
      <c r="AB27" s="1134"/>
      <c r="AC27" s="1134"/>
      <c r="AD27" s="1134"/>
      <c r="AE27" s="1134"/>
      <c r="AF27" s="1134"/>
      <c r="AG27" s="1134"/>
      <c r="AH27" s="1134"/>
      <c r="AI27" s="1134"/>
      <c r="AJ27" s="1134"/>
      <c r="AK27" s="1134"/>
      <c r="AL27" s="1134"/>
      <c r="AM27" s="1134"/>
      <c r="AN27" s="1134"/>
      <c r="AO27" s="1134"/>
      <c r="AP27" s="1134"/>
      <c r="AQ27" s="1134"/>
      <c r="AR27" s="1134"/>
      <c r="AS27" s="1134"/>
      <c r="AT27" s="1134"/>
      <c r="AU27" s="1134"/>
      <c r="AV27" s="1134"/>
      <c r="AW27" s="1134"/>
      <c r="AX27" s="1134"/>
      <c r="AY27" s="1134"/>
      <c r="AZ27" s="1134"/>
      <c r="BA27" s="1134"/>
      <c r="BB27" s="1134"/>
      <c r="BC27" s="1134"/>
      <c r="BD27" s="1134"/>
      <c r="BE27" s="1134"/>
      <c r="BF27" s="1134"/>
      <c r="BG27" s="1134"/>
      <c r="BH27" s="1134"/>
      <c r="BI27" s="1134"/>
      <c r="BJ27" s="1134"/>
      <c r="BK27" s="1134"/>
      <c r="BL27" s="1134"/>
      <c r="BM27" s="1134"/>
      <c r="BN27" s="1134"/>
      <c r="BO27" s="1134"/>
      <c r="BP27" s="1134"/>
      <c r="BQ27" s="1134"/>
      <c r="BR27" s="1134"/>
      <c r="BS27" s="1134"/>
      <c r="BT27" s="1134"/>
      <c r="BU27" s="1134"/>
      <c r="BV27" s="1134"/>
      <c r="BW27" s="1134"/>
      <c r="BX27" s="1134"/>
      <c r="BY27" s="1134"/>
      <c r="BZ27" s="1134"/>
      <c r="CA27" s="1134"/>
      <c r="CB27" s="1134"/>
      <c r="CC27" s="1134"/>
      <c r="CD27" s="1134"/>
      <c r="CE27" s="1134"/>
      <c r="CF27" s="1134"/>
      <c r="CG27" s="1134"/>
      <c r="CH27" s="1134"/>
      <c r="CI27" s="1134"/>
      <c r="CJ27" s="1134"/>
      <c r="CK27" s="1134"/>
      <c r="CL27" s="1134"/>
      <c r="CM27" s="1134"/>
      <c r="CN27" s="1134"/>
      <c r="CO27" s="1134"/>
      <c r="CP27" s="1134"/>
      <c r="CQ27" s="1134"/>
      <c r="CR27" s="1134"/>
      <c r="CS27" s="1134"/>
      <c r="CT27" s="1134"/>
      <c r="CU27" s="1134"/>
      <c r="CV27" s="1134"/>
      <c r="CW27" s="1134"/>
      <c r="CX27" s="1134"/>
      <c r="CY27" s="1134"/>
      <c r="CZ27" s="1134"/>
      <c r="DA27" s="1134"/>
      <c r="DB27" s="1134"/>
      <c r="DC27" s="1134"/>
      <c r="DD27" s="1134"/>
      <c r="DE27" s="1134"/>
      <c r="DF27" s="1134"/>
      <c r="DG27" s="1134"/>
      <c r="DH27" s="1134"/>
      <c r="DI27" s="1134"/>
      <c r="DJ27" s="1134"/>
      <c r="DK27" s="1134"/>
      <c r="DL27" s="1134"/>
      <c r="DM27" s="1134"/>
      <c r="DN27" s="1134"/>
      <c r="DO27" s="1134"/>
      <c r="DP27" s="1134"/>
      <c r="DQ27" s="1134"/>
      <c r="DR27" s="1134"/>
      <c r="DS27" s="1134"/>
      <c r="DT27" s="1134"/>
      <c r="DU27" s="1134"/>
      <c r="DV27" s="1134"/>
      <c r="DW27" s="1134"/>
      <c r="DX27" s="1134"/>
      <c r="DY27" s="1134"/>
      <c r="DZ27" s="1134"/>
      <c r="EA27" s="1134"/>
      <c r="EB27" s="1134"/>
      <c r="EC27" s="1134"/>
      <c r="ED27" s="1134"/>
      <c r="EE27" s="1134"/>
      <c r="EF27" s="1134"/>
      <c r="EG27" s="1134"/>
      <c r="EH27" s="1134"/>
      <c r="EI27" s="1134"/>
      <c r="EJ27" s="1134"/>
      <c r="EK27" s="1134"/>
      <c r="EL27" s="1134"/>
      <c r="EM27" s="1134"/>
      <c r="EN27" s="1134"/>
      <c r="EO27" s="1134"/>
      <c r="EP27" s="1134"/>
      <c r="EQ27" s="1134"/>
      <c r="ER27" s="1134"/>
      <c r="ES27" s="1134"/>
      <c r="ET27" s="1134"/>
      <c r="EU27" s="1134"/>
      <c r="EV27" s="1134"/>
      <c r="EW27" s="1134"/>
      <c r="EX27" s="1134"/>
      <c r="EY27" s="1134"/>
      <c r="EZ27" s="1134"/>
      <c r="FA27" s="1134"/>
      <c r="FB27" s="1134"/>
      <c r="FC27" s="1134"/>
      <c r="FD27" s="1134"/>
      <c r="FE27" s="1134"/>
      <c r="FF27" s="1134"/>
      <c r="FG27" s="1134"/>
      <c r="FH27" s="1134"/>
      <c r="FI27" s="1134"/>
      <c r="FJ27" s="1134"/>
      <c r="FK27" s="1134"/>
      <c r="FL27" s="1134"/>
      <c r="FM27" s="1134"/>
      <c r="FN27" s="1134"/>
      <c r="FO27" s="1134"/>
      <c r="FP27" s="1134"/>
      <c r="FQ27" s="1134"/>
      <c r="FR27" s="1134"/>
      <c r="FS27" s="1134"/>
      <c r="FT27" s="1134"/>
      <c r="FU27" s="1134"/>
      <c r="FV27" s="1134"/>
      <c r="FW27" s="1134"/>
      <c r="FX27" s="1134"/>
      <c r="FY27" s="1134"/>
      <c r="FZ27" s="1134"/>
      <c r="GA27" s="1134"/>
      <c r="GB27" s="1134"/>
      <c r="GC27" s="1134"/>
      <c r="GD27" s="1134"/>
      <c r="GE27" s="1134"/>
      <c r="GF27" s="1134"/>
      <c r="GG27" s="1134"/>
      <c r="GH27" s="1134"/>
      <c r="GI27" s="1134"/>
      <c r="GJ27" s="1134"/>
      <c r="GK27" s="1134"/>
      <c r="GL27" s="1134"/>
      <c r="GM27" s="1134"/>
      <c r="GN27" s="1134"/>
      <c r="GO27" s="1134"/>
      <c r="GP27" s="1134"/>
      <c r="GQ27" s="1134"/>
      <c r="GR27" s="1134"/>
      <c r="GS27" s="1134"/>
      <c r="GT27" s="1134"/>
      <c r="GU27" s="1134"/>
      <c r="GV27" s="1134"/>
      <c r="GW27" s="1134"/>
      <c r="GX27" s="1134"/>
      <c r="GY27" s="1134"/>
      <c r="GZ27" s="1134"/>
      <c r="HA27" s="1134"/>
      <c r="HB27" s="1134"/>
      <c r="HC27" s="1134"/>
      <c r="HD27" s="1134"/>
      <c r="HE27" s="1134"/>
      <c r="HF27" s="1134"/>
      <c r="HG27" s="1134"/>
      <c r="HH27" s="1134"/>
      <c r="HI27" s="1134"/>
      <c r="HJ27" s="1134"/>
      <c r="HK27" s="1134"/>
      <c r="HL27" s="1134"/>
      <c r="HM27" s="1134"/>
      <c r="HN27" s="1134"/>
      <c r="HO27" s="1134"/>
      <c r="HP27" s="1134"/>
      <c r="HQ27" s="1134"/>
      <c r="HR27" s="1134"/>
      <c r="HS27" s="1134"/>
      <c r="HT27" s="1134"/>
      <c r="HU27" s="1134"/>
      <c r="HV27" s="1134"/>
      <c r="HW27" s="1134"/>
      <c r="HX27" s="1134"/>
      <c r="HY27" s="1134"/>
      <c r="HZ27" s="1134"/>
      <c r="IA27" s="1134"/>
      <c r="IB27" s="1134"/>
      <c r="IC27" s="1134"/>
      <c r="ID27" s="1134"/>
      <c r="IE27" s="1134"/>
      <c r="IF27" s="1134"/>
      <c r="IG27" s="1134"/>
      <c r="IH27" s="1134"/>
      <c r="II27" s="1134"/>
      <c r="IJ27" s="1134"/>
      <c r="IK27" s="1134"/>
      <c r="IL27" s="1134"/>
      <c r="IM27" s="1134"/>
      <c r="IN27" s="1134"/>
      <c r="IO27" s="1134"/>
      <c r="IP27" s="1134"/>
      <c r="IQ27" s="1134"/>
      <c r="IR27" s="1134"/>
      <c r="IS27" s="1134"/>
      <c r="IT27" s="1134"/>
      <c r="IU27" s="1134"/>
      <c r="IV27" s="1134"/>
    </row>
    <row r="28" spans="1:256" ht="24" customHeight="1">
      <c r="A28" s="859" t="s">
        <v>39</v>
      </c>
      <c r="B28" s="849" t="str">
        <f>IF(D28&gt;0,"has data","NO DATA YET")</f>
        <v>has data</v>
      </c>
      <c r="C28" s="849" t="str">
        <f>IF(D28&gt;0,"ok","")</f>
        <v>ok</v>
      </c>
      <c r="D28" s="860">
        <f>'Entry Class'!R1</f>
        <v>1</v>
      </c>
      <c r="E28" s="913"/>
      <c r="F28" s="1132"/>
      <c r="G28" s="1132"/>
      <c r="H28" s="1132"/>
      <c r="I28" s="1132"/>
      <c r="J28" s="1132"/>
      <c r="K28" s="1132"/>
      <c r="L28" s="1132"/>
      <c r="M28" s="1132"/>
      <c r="N28" s="1132"/>
      <c r="O28" s="1134"/>
      <c r="P28" s="1134"/>
      <c r="Q28" s="1134"/>
      <c r="R28" s="1134"/>
      <c r="S28" s="1134"/>
      <c r="T28" s="1134"/>
      <c r="U28" s="1134"/>
      <c r="V28" s="1134"/>
      <c r="W28" s="1134"/>
      <c r="X28" s="1134"/>
      <c r="Y28" s="1134"/>
      <c r="Z28" s="1134"/>
      <c r="AA28" s="1134"/>
      <c r="AB28" s="1134"/>
      <c r="AC28" s="1134"/>
      <c r="AD28" s="1134"/>
      <c r="AE28" s="1134"/>
      <c r="AF28" s="1134"/>
      <c r="AG28" s="1134"/>
      <c r="AH28" s="1134"/>
      <c r="AI28" s="1134"/>
      <c r="AJ28" s="1134"/>
      <c r="AK28" s="1134"/>
      <c r="AL28" s="1134"/>
      <c r="AM28" s="1134"/>
      <c r="AN28" s="1134"/>
      <c r="AO28" s="1134"/>
      <c r="AP28" s="1134"/>
      <c r="AQ28" s="1134"/>
      <c r="AR28" s="1134"/>
      <c r="AS28" s="1134"/>
      <c r="AT28" s="1134"/>
      <c r="AU28" s="1134"/>
      <c r="AV28" s="1134"/>
      <c r="AW28" s="1134"/>
      <c r="AX28" s="1134"/>
      <c r="AY28" s="1134"/>
      <c r="AZ28" s="1134"/>
      <c r="BA28" s="1134"/>
      <c r="BB28" s="1134"/>
      <c r="BC28" s="1134"/>
      <c r="BD28" s="1134"/>
      <c r="BE28" s="1134"/>
      <c r="BF28" s="1134"/>
      <c r="BG28" s="1134"/>
      <c r="BH28" s="1134"/>
      <c r="BI28" s="1134"/>
      <c r="BJ28" s="1134"/>
      <c r="BK28" s="1134"/>
      <c r="BL28" s="1134"/>
      <c r="BM28" s="1134"/>
      <c r="BN28" s="1134"/>
      <c r="BO28" s="1134"/>
      <c r="BP28" s="1134"/>
      <c r="BQ28" s="1134"/>
      <c r="BR28" s="1134"/>
      <c r="BS28" s="1134"/>
      <c r="BT28" s="1134"/>
      <c r="BU28" s="1134"/>
      <c r="BV28" s="1134"/>
      <c r="BW28" s="1134"/>
      <c r="BX28" s="1134"/>
      <c r="BY28" s="1134"/>
      <c r="BZ28" s="1134"/>
      <c r="CA28" s="1134"/>
      <c r="CB28" s="1134"/>
      <c r="CC28" s="1134"/>
      <c r="CD28" s="1134"/>
      <c r="CE28" s="1134"/>
      <c r="CF28" s="1134"/>
      <c r="CG28" s="1134"/>
      <c r="CH28" s="1134"/>
      <c r="CI28" s="1134"/>
      <c r="CJ28" s="1134"/>
      <c r="CK28" s="1134"/>
      <c r="CL28" s="1134"/>
      <c r="CM28" s="1134"/>
      <c r="CN28" s="1134"/>
      <c r="CO28" s="1134"/>
      <c r="CP28" s="1134"/>
      <c r="CQ28" s="1134"/>
      <c r="CR28" s="1134"/>
      <c r="CS28" s="1134"/>
      <c r="CT28" s="1134"/>
      <c r="CU28" s="1134"/>
      <c r="CV28" s="1134"/>
      <c r="CW28" s="1134"/>
      <c r="CX28" s="1134"/>
      <c r="CY28" s="1134"/>
      <c r="CZ28" s="1134"/>
      <c r="DA28" s="1134"/>
      <c r="DB28" s="1134"/>
      <c r="DC28" s="1134"/>
      <c r="DD28" s="1134"/>
      <c r="DE28" s="1134"/>
      <c r="DF28" s="1134"/>
      <c r="DG28" s="1134"/>
      <c r="DH28" s="1134"/>
      <c r="DI28" s="1134"/>
      <c r="DJ28" s="1134"/>
      <c r="DK28" s="1134"/>
      <c r="DL28" s="1134"/>
      <c r="DM28" s="1134"/>
      <c r="DN28" s="1134"/>
      <c r="DO28" s="1134"/>
      <c r="DP28" s="1134"/>
      <c r="DQ28" s="1134"/>
      <c r="DR28" s="1134"/>
      <c r="DS28" s="1134"/>
      <c r="DT28" s="1134"/>
      <c r="DU28" s="1134"/>
      <c r="DV28" s="1134"/>
      <c r="DW28" s="1134"/>
      <c r="DX28" s="1134"/>
      <c r="DY28" s="1134"/>
      <c r="DZ28" s="1134"/>
      <c r="EA28" s="1134"/>
      <c r="EB28" s="1134"/>
      <c r="EC28" s="1134"/>
      <c r="ED28" s="1134"/>
      <c r="EE28" s="1134"/>
      <c r="EF28" s="1134"/>
      <c r="EG28" s="1134"/>
      <c r="EH28" s="1134"/>
      <c r="EI28" s="1134"/>
      <c r="EJ28" s="1134"/>
      <c r="EK28" s="1134"/>
      <c r="EL28" s="1134"/>
      <c r="EM28" s="1134"/>
      <c r="EN28" s="1134"/>
      <c r="EO28" s="1134"/>
      <c r="EP28" s="1134"/>
      <c r="EQ28" s="1134"/>
      <c r="ER28" s="1134"/>
      <c r="ES28" s="1134"/>
      <c r="ET28" s="1134"/>
      <c r="EU28" s="1134"/>
      <c r="EV28" s="1134"/>
      <c r="EW28" s="1134"/>
      <c r="EX28" s="1134"/>
      <c r="EY28" s="1134"/>
      <c r="EZ28" s="1134"/>
      <c r="FA28" s="1134"/>
      <c r="FB28" s="1134"/>
      <c r="FC28" s="1134"/>
      <c r="FD28" s="1134"/>
      <c r="FE28" s="1134"/>
      <c r="FF28" s="1134"/>
      <c r="FG28" s="1134"/>
      <c r="FH28" s="1134"/>
      <c r="FI28" s="1134"/>
      <c r="FJ28" s="1134"/>
      <c r="FK28" s="1134"/>
      <c r="FL28" s="1134"/>
      <c r="FM28" s="1134"/>
      <c r="FN28" s="1134"/>
      <c r="FO28" s="1134"/>
      <c r="FP28" s="1134"/>
      <c r="FQ28" s="1134"/>
      <c r="FR28" s="1134"/>
      <c r="FS28" s="1134"/>
      <c r="FT28" s="1134"/>
      <c r="FU28" s="1134"/>
      <c r="FV28" s="1134"/>
      <c r="FW28" s="1134"/>
      <c r="FX28" s="1134"/>
      <c r="FY28" s="1134"/>
      <c r="FZ28" s="1134"/>
      <c r="GA28" s="1134"/>
      <c r="GB28" s="1134"/>
      <c r="GC28" s="1134"/>
      <c r="GD28" s="1134"/>
      <c r="GE28" s="1134"/>
      <c r="GF28" s="1134"/>
      <c r="GG28" s="1134"/>
      <c r="GH28" s="1134"/>
      <c r="GI28" s="1134"/>
      <c r="GJ28" s="1134"/>
      <c r="GK28" s="1134"/>
      <c r="GL28" s="1134"/>
      <c r="GM28" s="1134"/>
      <c r="GN28" s="1134"/>
      <c r="GO28" s="1134"/>
      <c r="GP28" s="1134"/>
      <c r="GQ28" s="1134"/>
      <c r="GR28" s="1134"/>
      <c r="GS28" s="1134"/>
      <c r="GT28" s="1134"/>
      <c r="GU28" s="1134"/>
      <c r="GV28" s="1134"/>
      <c r="GW28" s="1134"/>
      <c r="GX28" s="1134"/>
      <c r="GY28" s="1134"/>
      <c r="GZ28" s="1134"/>
      <c r="HA28" s="1134"/>
      <c r="HB28" s="1134"/>
      <c r="HC28" s="1134"/>
      <c r="HD28" s="1134"/>
      <c r="HE28" s="1134"/>
      <c r="HF28" s="1134"/>
      <c r="HG28" s="1134"/>
      <c r="HH28" s="1134"/>
      <c r="HI28" s="1134"/>
      <c r="HJ28" s="1134"/>
      <c r="HK28" s="1134"/>
      <c r="HL28" s="1134"/>
      <c r="HM28" s="1134"/>
      <c r="HN28" s="1134"/>
      <c r="HO28" s="1134"/>
      <c r="HP28" s="1134"/>
      <c r="HQ28" s="1134"/>
      <c r="HR28" s="1134"/>
      <c r="HS28" s="1134"/>
      <c r="HT28" s="1134"/>
      <c r="HU28" s="1134"/>
      <c r="HV28" s="1134"/>
      <c r="HW28" s="1134"/>
      <c r="HX28" s="1134"/>
      <c r="HY28" s="1134"/>
      <c r="HZ28" s="1134"/>
      <c r="IA28" s="1134"/>
      <c r="IB28" s="1134"/>
      <c r="IC28" s="1134"/>
      <c r="ID28" s="1134"/>
      <c r="IE28" s="1134"/>
      <c r="IF28" s="1134"/>
      <c r="IG28" s="1134"/>
      <c r="IH28" s="1134"/>
      <c r="II28" s="1134"/>
      <c r="IJ28" s="1134"/>
      <c r="IK28" s="1134"/>
      <c r="IL28" s="1134"/>
      <c r="IM28" s="1134"/>
      <c r="IN28" s="1134"/>
      <c r="IO28" s="1134"/>
      <c r="IP28" s="1134"/>
      <c r="IQ28" s="1134"/>
      <c r="IR28" s="1134"/>
      <c r="IS28" s="1134"/>
      <c r="IT28" s="1134"/>
      <c r="IU28" s="1134"/>
      <c r="IV28" s="1134"/>
    </row>
    <row r="29" spans="1:256" ht="18.95" customHeight="1">
      <c r="A29" s="1150" t="s">
        <v>40</v>
      </c>
      <c r="B29" s="849" t="str">
        <f t="shared" si="0"/>
        <v>has data</v>
      </c>
      <c r="C29" s="849" t="str">
        <f>IF(D29=0,"",IF('CH-UConn'!O2&gt;0,"ERROR","ok"))</f>
        <v>ok</v>
      </c>
      <c r="D29" s="858">
        <f>SUM('CH-CSU'!O1,'CH-UConn'!O1,'CH-Ind'!O1)</f>
        <v>1</v>
      </c>
      <c r="E29" s="1132"/>
      <c r="F29" s="1132"/>
      <c r="G29" s="1132"/>
      <c r="H29" s="1132"/>
      <c r="I29" s="1132"/>
      <c r="J29" s="1132"/>
      <c r="K29" s="1132"/>
      <c r="L29" s="1132"/>
      <c r="M29" s="1132"/>
      <c r="N29" s="1132"/>
      <c r="O29" s="1134"/>
      <c r="P29" s="1134"/>
      <c r="Q29" s="1134"/>
      <c r="R29" s="1134"/>
      <c r="S29" s="1134"/>
      <c r="T29" s="1134"/>
      <c r="U29" s="1134"/>
      <c r="V29" s="1134"/>
      <c r="W29" s="1134"/>
      <c r="X29" s="1134"/>
      <c r="Y29" s="1134"/>
      <c r="Z29" s="1134"/>
      <c r="AA29" s="1134"/>
      <c r="AB29" s="1134"/>
      <c r="AC29" s="1134"/>
      <c r="AD29" s="1134"/>
      <c r="AE29" s="1134"/>
      <c r="AF29" s="1134"/>
      <c r="AG29" s="1134"/>
      <c r="AH29" s="1134"/>
      <c r="AI29" s="1134"/>
      <c r="AJ29" s="1134"/>
      <c r="AK29" s="1134"/>
      <c r="AL29" s="1134"/>
      <c r="AM29" s="1134"/>
      <c r="AN29" s="1134"/>
      <c r="AO29" s="1134"/>
      <c r="AP29" s="1134"/>
      <c r="AQ29" s="1134"/>
      <c r="AR29" s="1134"/>
      <c r="AS29" s="1134"/>
      <c r="AT29" s="1134"/>
      <c r="AU29" s="1134"/>
      <c r="AV29" s="1134"/>
      <c r="AW29" s="1134"/>
      <c r="AX29" s="1134"/>
      <c r="AY29" s="1134"/>
      <c r="AZ29" s="1134"/>
      <c r="BA29" s="1134"/>
      <c r="BB29" s="1134"/>
      <c r="BC29" s="1134"/>
      <c r="BD29" s="1134"/>
      <c r="BE29" s="1134"/>
      <c r="BF29" s="1134"/>
      <c r="BG29" s="1134"/>
      <c r="BH29" s="1134"/>
      <c r="BI29" s="1134"/>
      <c r="BJ29" s="1134"/>
      <c r="BK29" s="1134"/>
      <c r="BL29" s="1134"/>
      <c r="BM29" s="1134"/>
      <c r="BN29" s="1134"/>
      <c r="BO29" s="1134"/>
      <c r="BP29" s="1134"/>
      <c r="BQ29" s="1134"/>
      <c r="BR29" s="1134"/>
      <c r="BS29" s="1134"/>
      <c r="BT29" s="1134"/>
      <c r="BU29" s="1134"/>
      <c r="BV29" s="1134"/>
      <c r="BW29" s="1134"/>
      <c r="BX29" s="1134"/>
      <c r="BY29" s="1134"/>
      <c r="BZ29" s="1134"/>
      <c r="CA29" s="1134"/>
      <c r="CB29" s="1134"/>
      <c r="CC29" s="1134"/>
      <c r="CD29" s="1134"/>
      <c r="CE29" s="1134"/>
      <c r="CF29" s="1134"/>
      <c r="CG29" s="1134"/>
      <c r="CH29" s="1134"/>
      <c r="CI29" s="1134"/>
      <c r="CJ29" s="1134"/>
      <c r="CK29" s="1134"/>
      <c r="CL29" s="1134"/>
      <c r="CM29" s="1134"/>
      <c r="CN29" s="1134"/>
      <c r="CO29" s="1134"/>
      <c r="CP29" s="1134"/>
      <c r="CQ29" s="1134"/>
      <c r="CR29" s="1134"/>
      <c r="CS29" s="1134"/>
      <c r="CT29" s="1134"/>
      <c r="CU29" s="1134"/>
      <c r="CV29" s="1134"/>
      <c r="CW29" s="1134"/>
      <c r="CX29" s="1134"/>
      <c r="CY29" s="1134"/>
      <c r="CZ29" s="1134"/>
      <c r="DA29" s="1134"/>
      <c r="DB29" s="1134"/>
      <c r="DC29" s="1134"/>
      <c r="DD29" s="1134"/>
      <c r="DE29" s="1134"/>
      <c r="DF29" s="1134"/>
      <c r="DG29" s="1134"/>
      <c r="DH29" s="1134"/>
      <c r="DI29" s="1134"/>
      <c r="DJ29" s="1134"/>
      <c r="DK29" s="1134"/>
      <c r="DL29" s="1134"/>
      <c r="DM29" s="1134"/>
      <c r="DN29" s="1134"/>
      <c r="DO29" s="1134"/>
      <c r="DP29" s="1134"/>
      <c r="DQ29" s="1134"/>
      <c r="DR29" s="1134"/>
      <c r="DS29" s="1134"/>
      <c r="DT29" s="1134"/>
      <c r="DU29" s="1134"/>
      <c r="DV29" s="1134"/>
      <c r="DW29" s="1134"/>
      <c r="DX29" s="1134"/>
      <c r="DY29" s="1134"/>
      <c r="DZ29" s="1134"/>
      <c r="EA29" s="1134"/>
      <c r="EB29" s="1134"/>
      <c r="EC29" s="1134"/>
      <c r="ED29" s="1134"/>
      <c r="EE29" s="1134"/>
      <c r="EF29" s="1134"/>
      <c r="EG29" s="1134"/>
      <c r="EH29" s="1134"/>
      <c r="EI29" s="1134"/>
      <c r="EJ29" s="1134"/>
      <c r="EK29" s="1134"/>
      <c r="EL29" s="1134"/>
      <c r="EM29" s="1134"/>
      <c r="EN29" s="1134"/>
      <c r="EO29" s="1134"/>
      <c r="EP29" s="1134"/>
      <c r="EQ29" s="1134"/>
      <c r="ER29" s="1134"/>
      <c r="ES29" s="1134"/>
      <c r="ET29" s="1134"/>
      <c r="EU29" s="1134"/>
      <c r="EV29" s="1134"/>
      <c r="EW29" s="1134"/>
      <c r="EX29" s="1134"/>
      <c r="EY29" s="1134"/>
      <c r="EZ29" s="1134"/>
      <c r="FA29" s="1134"/>
      <c r="FB29" s="1134"/>
      <c r="FC29" s="1134"/>
      <c r="FD29" s="1134"/>
      <c r="FE29" s="1134"/>
      <c r="FF29" s="1134"/>
      <c r="FG29" s="1134"/>
      <c r="FH29" s="1134"/>
      <c r="FI29" s="1134"/>
      <c r="FJ29" s="1134"/>
      <c r="FK29" s="1134"/>
      <c r="FL29" s="1134"/>
      <c r="FM29" s="1134"/>
      <c r="FN29" s="1134"/>
      <c r="FO29" s="1134"/>
      <c r="FP29" s="1134"/>
      <c r="FQ29" s="1134"/>
      <c r="FR29" s="1134"/>
      <c r="FS29" s="1134"/>
      <c r="FT29" s="1134"/>
      <c r="FU29" s="1134"/>
      <c r="FV29" s="1134"/>
      <c r="FW29" s="1134"/>
      <c r="FX29" s="1134"/>
      <c r="FY29" s="1134"/>
      <c r="FZ29" s="1134"/>
      <c r="GA29" s="1134"/>
      <c r="GB29" s="1134"/>
      <c r="GC29" s="1134"/>
      <c r="GD29" s="1134"/>
      <c r="GE29" s="1134"/>
      <c r="GF29" s="1134"/>
      <c r="GG29" s="1134"/>
      <c r="GH29" s="1134"/>
      <c r="GI29" s="1134"/>
      <c r="GJ29" s="1134"/>
      <c r="GK29" s="1134"/>
      <c r="GL29" s="1134"/>
      <c r="GM29" s="1134"/>
      <c r="GN29" s="1134"/>
      <c r="GO29" s="1134"/>
      <c r="GP29" s="1134"/>
      <c r="GQ29" s="1134"/>
      <c r="GR29" s="1134"/>
      <c r="GS29" s="1134"/>
      <c r="GT29" s="1134"/>
      <c r="GU29" s="1134"/>
      <c r="GV29" s="1134"/>
      <c r="GW29" s="1134"/>
      <c r="GX29" s="1134"/>
      <c r="GY29" s="1134"/>
      <c r="GZ29" s="1134"/>
      <c r="HA29" s="1134"/>
      <c r="HB29" s="1134"/>
      <c r="HC29" s="1134"/>
      <c r="HD29" s="1134"/>
      <c r="HE29" s="1134"/>
      <c r="HF29" s="1134"/>
      <c r="HG29" s="1134"/>
      <c r="HH29" s="1134"/>
      <c r="HI29" s="1134"/>
      <c r="HJ29" s="1134"/>
      <c r="HK29" s="1134"/>
      <c r="HL29" s="1134"/>
      <c r="HM29" s="1134"/>
      <c r="HN29" s="1134"/>
      <c r="HO29" s="1134"/>
      <c r="HP29" s="1134"/>
      <c r="HQ29" s="1134"/>
      <c r="HR29" s="1134"/>
      <c r="HS29" s="1134"/>
      <c r="HT29" s="1134"/>
      <c r="HU29" s="1134"/>
      <c r="HV29" s="1134"/>
      <c r="HW29" s="1134"/>
      <c r="HX29" s="1134"/>
      <c r="HY29" s="1134"/>
      <c r="HZ29" s="1134"/>
      <c r="IA29" s="1134"/>
      <c r="IB29" s="1134"/>
      <c r="IC29" s="1134"/>
      <c r="ID29" s="1134"/>
      <c r="IE29" s="1134"/>
      <c r="IF29" s="1134"/>
      <c r="IG29" s="1134"/>
      <c r="IH29" s="1134"/>
      <c r="II29" s="1134"/>
      <c r="IJ29" s="1134"/>
      <c r="IK29" s="1134"/>
      <c r="IL29" s="1134"/>
      <c r="IM29" s="1134"/>
      <c r="IN29" s="1134"/>
      <c r="IO29" s="1134"/>
      <c r="IP29" s="1134"/>
      <c r="IQ29" s="1134"/>
      <c r="IR29" s="1134"/>
      <c r="IS29" s="1134"/>
      <c r="IT29" s="1134"/>
      <c r="IU29" s="1134"/>
      <c r="IV29" s="1134"/>
    </row>
    <row r="30" spans="1:256" ht="18.95" customHeight="1">
      <c r="A30" s="1150" t="s">
        <v>41</v>
      </c>
      <c r="B30" s="849" t="str">
        <f t="shared" si="0"/>
        <v>has data</v>
      </c>
      <c r="C30" s="849" t="str">
        <f>IF(D30=0,"",IF(Resid!I2&gt;0,"ERROR","ok"))</f>
        <v>ok</v>
      </c>
      <c r="D30" s="856">
        <f>Resid!I1</f>
        <v>1</v>
      </c>
      <c r="E30" s="1132"/>
      <c r="F30" s="1132"/>
      <c r="G30" s="1132"/>
      <c r="H30" s="1132"/>
      <c r="I30" s="1132"/>
      <c r="J30" s="1132"/>
      <c r="K30" s="1132"/>
      <c r="L30" s="1132"/>
      <c r="M30" s="1132"/>
      <c r="N30" s="1132"/>
      <c r="O30" s="1134"/>
      <c r="P30" s="1134"/>
      <c r="Q30" s="1134"/>
      <c r="R30" s="1134"/>
      <c r="S30" s="1134"/>
      <c r="T30" s="1134"/>
      <c r="U30" s="1134"/>
      <c r="V30" s="1134"/>
      <c r="W30" s="1134"/>
      <c r="X30" s="1134"/>
      <c r="Y30" s="1134"/>
      <c r="Z30" s="1134"/>
      <c r="AA30" s="1134"/>
      <c r="AB30" s="1134"/>
      <c r="AC30" s="1134"/>
      <c r="AD30" s="1134"/>
      <c r="AE30" s="1134"/>
      <c r="AF30" s="1134"/>
      <c r="AG30" s="1134"/>
      <c r="AH30" s="1134"/>
      <c r="AI30" s="1134"/>
      <c r="AJ30" s="1134"/>
      <c r="AK30" s="1134"/>
      <c r="AL30" s="1134"/>
      <c r="AM30" s="1134"/>
      <c r="AN30" s="1134"/>
      <c r="AO30" s="1134"/>
      <c r="AP30" s="1134"/>
      <c r="AQ30" s="1134"/>
      <c r="AR30" s="1134"/>
      <c r="AS30" s="1134"/>
      <c r="AT30" s="1134"/>
      <c r="AU30" s="1134"/>
      <c r="AV30" s="1134"/>
      <c r="AW30" s="1134"/>
      <c r="AX30" s="1134"/>
      <c r="AY30" s="1134"/>
      <c r="AZ30" s="1134"/>
      <c r="BA30" s="1134"/>
      <c r="BB30" s="1134"/>
      <c r="BC30" s="1134"/>
      <c r="BD30" s="1134"/>
      <c r="BE30" s="1134"/>
      <c r="BF30" s="1134"/>
      <c r="BG30" s="1134"/>
      <c r="BH30" s="1134"/>
      <c r="BI30" s="1134"/>
      <c r="BJ30" s="1134"/>
      <c r="BK30" s="1134"/>
      <c r="BL30" s="1134"/>
      <c r="BM30" s="1134"/>
      <c r="BN30" s="1134"/>
      <c r="BO30" s="1134"/>
      <c r="BP30" s="1134"/>
      <c r="BQ30" s="1134"/>
      <c r="BR30" s="1134"/>
      <c r="BS30" s="1134"/>
      <c r="BT30" s="1134"/>
      <c r="BU30" s="1134"/>
      <c r="BV30" s="1134"/>
      <c r="BW30" s="1134"/>
      <c r="BX30" s="1134"/>
      <c r="BY30" s="1134"/>
      <c r="BZ30" s="1134"/>
      <c r="CA30" s="1134"/>
      <c r="CB30" s="1134"/>
      <c r="CC30" s="1134"/>
      <c r="CD30" s="1134"/>
      <c r="CE30" s="1134"/>
      <c r="CF30" s="1134"/>
      <c r="CG30" s="1134"/>
      <c r="CH30" s="1134"/>
      <c r="CI30" s="1134"/>
      <c r="CJ30" s="1134"/>
      <c r="CK30" s="1134"/>
      <c r="CL30" s="1134"/>
      <c r="CM30" s="1134"/>
      <c r="CN30" s="1134"/>
      <c r="CO30" s="1134"/>
      <c r="CP30" s="1134"/>
      <c r="CQ30" s="1134"/>
      <c r="CR30" s="1134"/>
      <c r="CS30" s="1134"/>
      <c r="CT30" s="1134"/>
      <c r="CU30" s="1134"/>
      <c r="CV30" s="1134"/>
      <c r="CW30" s="1134"/>
      <c r="CX30" s="1134"/>
      <c r="CY30" s="1134"/>
      <c r="CZ30" s="1134"/>
      <c r="DA30" s="1134"/>
      <c r="DB30" s="1134"/>
      <c r="DC30" s="1134"/>
      <c r="DD30" s="1134"/>
      <c r="DE30" s="1134"/>
      <c r="DF30" s="1134"/>
      <c r="DG30" s="1134"/>
      <c r="DH30" s="1134"/>
      <c r="DI30" s="1134"/>
      <c r="DJ30" s="1134"/>
      <c r="DK30" s="1134"/>
      <c r="DL30" s="1134"/>
      <c r="DM30" s="1134"/>
      <c r="DN30" s="1134"/>
      <c r="DO30" s="1134"/>
      <c r="DP30" s="1134"/>
      <c r="DQ30" s="1134"/>
      <c r="DR30" s="1134"/>
      <c r="DS30" s="1134"/>
      <c r="DT30" s="1134"/>
      <c r="DU30" s="1134"/>
      <c r="DV30" s="1134"/>
      <c r="DW30" s="1134"/>
      <c r="DX30" s="1134"/>
      <c r="DY30" s="1134"/>
      <c r="DZ30" s="1134"/>
      <c r="EA30" s="1134"/>
      <c r="EB30" s="1134"/>
      <c r="EC30" s="1134"/>
      <c r="ED30" s="1134"/>
      <c r="EE30" s="1134"/>
      <c r="EF30" s="1134"/>
      <c r="EG30" s="1134"/>
      <c r="EH30" s="1134"/>
      <c r="EI30" s="1134"/>
      <c r="EJ30" s="1134"/>
      <c r="EK30" s="1134"/>
      <c r="EL30" s="1134"/>
      <c r="EM30" s="1134"/>
      <c r="EN30" s="1134"/>
      <c r="EO30" s="1134"/>
      <c r="EP30" s="1134"/>
      <c r="EQ30" s="1134"/>
      <c r="ER30" s="1134"/>
      <c r="ES30" s="1134"/>
      <c r="ET30" s="1134"/>
      <c r="EU30" s="1134"/>
      <c r="EV30" s="1134"/>
      <c r="EW30" s="1134"/>
      <c r="EX30" s="1134"/>
      <c r="EY30" s="1134"/>
      <c r="EZ30" s="1134"/>
      <c r="FA30" s="1134"/>
      <c r="FB30" s="1134"/>
      <c r="FC30" s="1134"/>
      <c r="FD30" s="1134"/>
      <c r="FE30" s="1134"/>
      <c r="FF30" s="1134"/>
      <c r="FG30" s="1134"/>
      <c r="FH30" s="1134"/>
      <c r="FI30" s="1134"/>
      <c r="FJ30" s="1134"/>
      <c r="FK30" s="1134"/>
      <c r="FL30" s="1134"/>
      <c r="FM30" s="1134"/>
      <c r="FN30" s="1134"/>
      <c r="FO30" s="1134"/>
      <c r="FP30" s="1134"/>
      <c r="FQ30" s="1134"/>
      <c r="FR30" s="1134"/>
      <c r="FS30" s="1134"/>
      <c r="FT30" s="1134"/>
      <c r="FU30" s="1134"/>
      <c r="FV30" s="1134"/>
      <c r="FW30" s="1134"/>
      <c r="FX30" s="1134"/>
      <c r="FY30" s="1134"/>
      <c r="FZ30" s="1134"/>
      <c r="GA30" s="1134"/>
      <c r="GB30" s="1134"/>
      <c r="GC30" s="1134"/>
      <c r="GD30" s="1134"/>
      <c r="GE30" s="1134"/>
      <c r="GF30" s="1134"/>
      <c r="GG30" s="1134"/>
      <c r="GH30" s="1134"/>
      <c r="GI30" s="1134"/>
      <c r="GJ30" s="1134"/>
      <c r="GK30" s="1134"/>
      <c r="GL30" s="1134"/>
      <c r="GM30" s="1134"/>
      <c r="GN30" s="1134"/>
      <c r="GO30" s="1134"/>
      <c r="GP30" s="1134"/>
      <c r="GQ30" s="1134"/>
      <c r="GR30" s="1134"/>
      <c r="GS30" s="1134"/>
      <c r="GT30" s="1134"/>
      <c r="GU30" s="1134"/>
      <c r="GV30" s="1134"/>
      <c r="GW30" s="1134"/>
      <c r="GX30" s="1134"/>
      <c r="GY30" s="1134"/>
      <c r="GZ30" s="1134"/>
      <c r="HA30" s="1134"/>
      <c r="HB30" s="1134"/>
      <c r="HC30" s="1134"/>
      <c r="HD30" s="1134"/>
      <c r="HE30" s="1134"/>
      <c r="HF30" s="1134"/>
      <c r="HG30" s="1134"/>
      <c r="HH30" s="1134"/>
      <c r="HI30" s="1134"/>
      <c r="HJ30" s="1134"/>
      <c r="HK30" s="1134"/>
      <c r="HL30" s="1134"/>
      <c r="HM30" s="1134"/>
      <c r="HN30" s="1134"/>
      <c r="HO30" s="1134"/>
      <c r="HP30" s="1134"/>
      <c r="HQ30" s="1134"/>
      <c r="HR30" s="1134"/>
      <c r="HS30" s="1134"/>
      <c r="HT30" s="1134"/>
      <c r="HU30" s="1134"/>
      <c r="HV30" s="1134"/>
      <c r="HW30" s="1134"/>
      <c r="HX30" s="1134"/>
      <c r="HY30" s="1134"/>
      <c r="HZ30" s="1134"/>
      <c r="IA30" s="1134"/>
      <c r="IB30" s="1134"/>
      <c r="IC30" s="1134"/>
      <c r="ID30" s="1134"/>
      <c r="IE30" s="1134"/>
      <c r="IF30" s="1134"/>
      <c r="IG30" s="1134"/>
      <c r="IH30" s="1134"/>
      <c r="II30" s="1134"/>
      <c r="IJ30" s="1134"/>
      <c r="IK30" s="1134"/>
      <c r="IL30" s="1134"/>
      <c r="IM30" s="1134"/>
      <c r="IN30" s="1134"/>
      <c r="IO30" s="1134"/>
      <c r="IP30" s="1134"/>
      <c r="IQ30" s="1134"/>
      <c r="IR30" s="1134"/>
      <c r="IS30" s="1134"/>
      <c r="IT30" s="1134"/>
      <c r="IU30" s="1134"/>
      <c r="IV30" s="1134"/>
    </row>
    <row r="31" spans="1:256" ht="18.95" customHeight="1">
      <c r="A31" s="859" t="s">
        <v>42</v>
      </c>
      <c r="B31" s="849" t="str">
        <f t="shared" si="0"/>
        <v>has data</v>
      </c>
      <c r="C31" s="849" t="str">
        <f>IF(D31=0,"",IF(Admit!I2&gt;0,"ERROR","ok"))</f>
        <v>ok</v>
      </c>
      <c r="D31" s="856">
        <f>Admit!I1</f>
        <v>1</v>
      </c>
      <c r="E31" s="1132"/>
      <c r="F31" s="1132"/>
      <c r="G31" s="1132"/>
      <c r="H31" s="1132"/>
      <c r="I31" s="1132"/>
      <c r="J31" s="1132"/>
      <c r="K31" s="1132"/>
      <c r="L31" s="1132"/>
      <c r="M31" s="1132"/>
      <c r="N31" s="1132"/>
      <c r="O31" s="1134"/>
      <c r="P31" s="1134"/>
      <c r="Q31" s="1134"/>
      <c r="R31" s="1134"/>
      <c r="S31" s="1134"/>
      <c r="T31" s="1134"/>
      <c r="U31" s="1134"/>
      <c r="V31" s="1134"/>
      <c r="W31" s="1134"/>
      <c r="X31" s="1134"/>
      <c r="Y31" s="1134"/>
      <c r="Z31" s="1134"/>
      <c r="AA31" s="1134"/>
      <c r="AB31" s="1134"/>
      <c r="AC31" s="1134"/>
      <c r="AD31" s="1134"/>
      <c r="AE31" s="1134"/>
      <c r="AF31" s="1134"/>
      <c r="AG31" s="1134"/>
      <c r="AH31" s="1134"/>
      <c r="AI31" s="1134"/>
      <c r="AJ31" s="1134"/>
      <c r="AK31" s="1134"/>
      <c r="AL31" s="1134"/>
      <c r="AM31" s="1134"/>
      <c r="AN31" s="1134"/>
      <c r="AO31" s="1134"/>
      <c r="AP31" s="1134"/>
      <c r="AQ31" s="1134"/>
      <c r="AR31" s="1134"/>
      <c r="AS31" s="1134"/>
      <c r="AT31" s="1134"/>
      <c r="AU31" s="1134"/>
      <c r="AV31" s="1134"/>
      <c r="AW31" s="1134"/>
      <c r="AX31" s="1134"/>
      <c r="AY31" s="1134"/>
      <c r="AZ31" s="1134"/>
      <c r="BA31" s="1134"/>
      <c r="BB31" s="1134"/>
      <c r="BC31" s="1134"/>
      <c r="BD31" s="1134"/>
      <c r="BE31" s="1134"/>
      <c r="BF31" s="1134"/>
      <c r="BG31" s="1134"/>
      <c r="BH31" s="1134"/>
      <c r="BI31" s="1134"/>
      <c r="BJ31" s="1134"/>
      <c r="BK31" s="1134"/>
      <c r="BL31" s="1134"/>
      <c r="BM31" s="1134"/>
      <c r="BN31" s="1134"/>
      <c r="BO31" s="1134"/>
      <c r="BP31" s="1134"/>
      <c r="BQ31" s="1134"/>
      <c r="BR31" s="1134"/>
      <c r="BS31" s="1134"/>
      <c r="BT31" s="1134"/>
      <c r="BU31" s="1134"/>
      <c r="BV31" s="1134"/>
      <c r="BW31" s="1134"/>
      <c r="BX31" s="1134"/>
      <c r="BY31" s="1134"/>
      <c r="BZ31" s="1134"/>
      <c r="CA31" s="1134"/>
      <c r="CB31" s="1134"/>
      <c r="CC31" s="1134"/>
      <c r="CD31" s="1134"/>
      <c r="CE31" s="1134"/>
      <c r="CF31" s="1134"/>
      <c r="CG31" s="1134"/>
      <c r="CH31" s="1134"/>
      <c r="CI31" s="1134"/>
      <c r="CJ31" s="1134"/>
      <c r="CK31" s="1134"/>
      <c r="CL31" s="1134"/>
      <c r="CM31" s="1134"/>
      <c r="CN31" s="1134"/>
      <c r="CO31" s="1134"/>
      <c r="CP31" s="1134"/>
      <c r="CQ31" s="1134"/>
      <c r="CR31" s="1134"/>
      <c r="CS31" s="1134"/>
      <c r="CT31" s="1134"/>
      <c r="CU31" s="1134"/>
      <c r="CV31" s="1134"/>
      <c r="CW31" s="1134"/>
      <c r="CX31" s="1134"/>
      <c r="CY31" s="1134"/>
      <c r="CZ31" s="1134"/>
      <c r="DA31" s="1134"/>
      <c r="DB31" s="1134"/>
      <c r="DC31" s="1134"/>
      <c r="DD31" s="1134"/>
      <c r="DE31" s="1134"/>
      <c r="DF31" s="1134"/>
      <c r="DG31" s="1134"/>
      <c r="DH31" s="1134"/>
      <c r="DI31" s="1134"/>
      <c r="DJ31" s="1134"/>
      <c r="DK31" s="1134"/>
      <c r="DL31" s="1134"/>
      <c r="DM31" s="1134"/>
      <c r="DN31" s="1134"/>
      <c r="DO31" s="1134"/>
      <c r="DP31" s="1134"/>
      <c r="DQ31" s="1134"/>
      <c r="DR31" s="1134"/>
      <c r="DS31" s="1134"/>
      <c r="DT31" s="1134"/>
      <c r="DU31" s="1134"/>
      <c r="DV31" s="1134"/>
      <c r="DW31" s="1134"/>
      <c r="DX31" s="1134"/>
      <c r="DY31" s="1134"/>
      <c r="DZ31" s="1134"/>
      <c r="EA31" s="1134"/>
      <c r="EB31" s="1134"/>
      <c r="EC31" s="1134"/>
      <c r="ED31" s="1134"/>
      <c r="EE31" s="1134"/>
      <c r="EF31" s="1134"/>
      <c r="EG31" s="1134"/>
      <c r="EH31" s="1134"/>
      <c r="EI31" s="1134"/>
      <c r="EJ31" s="1134"/>
      <c r="EK31" s="1134"/>
      <c r="EL31" s="1134"/>
      <c r="EM31" s="1134"/>
      <c r="EN31" s="1134"/>
      <c r="EO31" s="1134"/>
      <c r="EP31" s="1134"/>
      <c r="EQ31" s="1134"/>
      <c r="ER31" s="1134"/>
      <c r="ES31" s="1134"/>
      <c r="ET31" s="1134"/>
      <c r="EU31" s="1134"/>
      <c r="EV31" s="1134"/>
      <c r="EW31" s="1134"/>
      <c r="EX31" s="1134"/>
      <c r="EY31" s="1134"/>
      <c r="EZ31" s="1134"/>
      <c r="FA31" s="1134"/>
      <c r="FB31" s="1134"/>
      <c r="FC31" s="1134"/>
      <c r="FD31" s="1134"/>
      <c r="FE31" s="1134"/>
      <c r="FF31" s="1134"/>
      <c r="FG31" s="1134"/>
      <c r="FH31" s="1134"/>
      <c r="FI31" s="1134"/>
      <c r="FJ31" s="1134"/>
      <c r="FK31" s="1134"/>
      <c r="FL31" s="1134"/>
      <c r="FM31" s="1134"/>
      <c r="FN31" s="1134"/>
      <c r="FO31" s="1134"/>
      <c r="FP31" s="1134"/>
      <c r="FQ31" s="1134"/>
      <c r="FR31" s="1134"/>
      <c r="FS31" s="1134"/>
      <c r="FT31" s="1134"/>
      <c r="FU31" s="1134"/>
      <c r="FV31" s="1134"/>
      <c r="FW31" s="1134"/>
      <c r="FX31" s="1134"/>
      <c r="FY31" s="1134"/>
      <c r="FZ31" s="1134"/>
      <c r="GA31" s="1134"/>
      <c r="GB31" s="1134"/>
      <c r="GC31" s="1134"/>
      <c r="GD31" s="1134"/>
      <c r="GE31" s="1134"/>
      <c r="GF31" s="1134"/>
      <c r="GG31" s="1134"/>
      <c r="GH31" s="1134"/>
      <c r="GI31" s="1134"/>
      <c r="GJ31" s="1134"/>
      <c r="GK31" s="1134"/>
      <c r="GL31" s="1134"/>
      <c r="GM31" s="1134"/>
      <c r="GN31" s="1134"/>
      <c r="GO31" s="1134"/>
      <c r="GP31" s="1134"/>
      <c r="GQ31" s="1134"/>
      <c r="GR31" s="1134"/>
      <c r="GS31" s="1134"/>
      <c r="GT31" s="1134"/>
      <c r="GU31" s="1134"/>
      <c r="GV31" s="1134"/>
      <c r="GW31" s="1134"/>
      <c r="GX31" s="1134"/>
      <c r="GY31" s="1134"/>
      <c r="GZ31" s="1134"/>
      <c r="HA31" s="1134"/>
      <c r="HB31" s="1134"/>
      <c r="HC31" s="1134"/>
      <c r="HD31" s="1134"/>
      <c r="HE31" s="1134"/>
      <c r="HF31" s="1134"/>
      <c r="HG31" s="1134"/>
      <c r="HH31" s="1134"/>
      <c r="HI31" s="1134"/>
      <c r="HJ31" s="1134"/>
      <c r="HK31" s="1134"/>
      <c r="HL31" s="1134"/>
      <c r="HM31" s="1134"/>
      <c r="HN31" s="1134"/>
      <c r="HO31" s="1134"/>
      <c r="HP31" s="1134"/>
      <c r="HQ31" s="1134"/>
      <c r="HR31" s="1134"/>
      <c r="HS31" s="1134"/>
      <c r="HT31" s="1134"/>
      <c r="HU31" s="1134"/>
      <c r="HV31" s="1134"/>
      <c r="HW31" s="1134"/>
      <c r="HX31" s="1134"/>
      <c r="HY31" s="1134"/>
      <c r="HZ31" s="1134"/>
      <c r="IA31" s="1134"/>
      <c r="IB31" s="1134"/>
      <c r="IC31" s="1134"/>
      <c r="ID31" s="1134"/>
      <c r="IE31" s="1134"/>
      <c r="IF31" s="1134"/>
      <c r="IG31" s="1134"/>
      <c r="IH31" s="1134"/>
      <c r="II31" s="1134"/>
      <c r="IJ31" s="1134"/>
      <c r="IK31" s="1134"/>
      <c r="IL31" s="1134"/>
      <c r="IM31" s="1134"/>
      <c r="IN31" s="1134"/>
      <c r="IO31" s="1134"/>
      <c r="IP31" s="1134"/>
      <c r="IQ31" s="1134"/>
      <c r="IR31" s="1134"/>
      <c r="IS31" s="1134"/>
      <c r="IT31" s="1134"/>
      <c r="IU31" s="1134"/>
      <c r="IV31" s="1134"/>
    </row>
    <row r="32" spans="1:256" ht="18.95" customHeight="1">
      <c r="A32" s="859" t="s">
        <v>43</v>
      </c>
      <c r="B32" s="849" t="str">
        <f t="shared" si="0"/>
        <v>has data</v>
      </c>
      <c r="C32" s="888" t="str">
        <f>IF(D32=0,"",IF(Transf!L2&gt;0,"ERROR","ok"))</f>
        <v>ok</v>
      </c>
      <c r="D32" s="856">
        <f>Transf!L1</f>
        <v>1</v>
      </c>
      <c r="E32" s="1132"/>
      <c r="F32" s="1132"/>
      <c r="G32" s="1132"/>
      <c r="H32" s="1132"/>
      <c r="I32" s="1132"/>
      <c r="J32" s="1132"/>
      <c r="K32" s="1132"/>
      <c r="L32" s="1132"/>
      <c r="M32" s="1132"/>
      <c r="N32" s="1132"/>
      <c r="O32" s="1134"/>
      <c r="P32" s="1134"/>
      <c r="Q32" s="1134"/>
      <c r="R32" s="1134"/>
      <c r="S32" s="1134"/>
      <c r="T32" s="1134"/>
      <c r="U32" s="1134"/>
      <c r="V32" s="1134"/>
      <c r="W32" s="1134"/>
      <c r="X32" s="1134"/>
      <c r="Y32" s="1134"/>
      <c r="Z32" s="1134"/>
      <c r="AA32" s="1134"/>
      <c r="AB32" s="1134"/>
      <c r="AC32" s="1134"/>
      <c r="AD32" s="1134"/>
      <c r="AE32" s="1134"/>
      <c r="AF32" s="1134"/>
      <c r="AG32" s="1134"/>
      <c r="AH32" s="1134"/>
      <c r="AI32" s="1134"/>
      <c r="AJ32" s="1134"/>
      <c r="AK32" s="1134"/>
      <c r="AL32" s="1134"/>
      <c r="AM32" s="1134"/>
      <c r="AN32" s="1134"/>
      <c r="AO32" s="1134"/>
      <c r="AP32" s="1134"/>
      <c r="AQ32" s="1134"/>
      <c r="AR32" s="1134"/>
      <c r="AS32" s="1134"/>
      <c r="AT32" s="1134"/>
      <c r="AU32" s="1134"/>
      <c r="AV32" s="1134"/>
      <c r="AW32" s="1134"/>
      <c r="AX32" s="1134"/>
      <c r="AY32" s="1134"/>
      <c r="AZ32" s="1134"/>
      <c r="BA32" s="1134"/>
      <c r="BB32" s="1134"/>
      <c r="BC32" s="1134"/>
      <c r="BD32" s="1134"/>
      <c r="BE32" s="1134"/>
      <c r="BF32" s="1134"/>
      <c r="BG32" s="1134"/>
      <c r="BH32" s="1134"/>
      <c r="BI32" s="1134"/>
      <c r="BJ32" s="1134"/>
      <c r="BK32" s="1134"/>
      <c r="BL32" s="1134"/>
      <c r="BM32" s="1134"/>
      <c r="BN32" s="1134"/>
      <c r="BO32" s="1134"/>
      <c r="BP32" s="1134"/>
      <c r="BQ32" s="1134"/>
      <c r="BR32" s="1134"/>
      <c r="BS32" s="1134"/>
      <c r="BT32" s="1134"/>
      <c r="BU32" s="1134"/>
      <c r="BV32" s="1134"/>
      <c r="BW32" s="1134"/>
      <c r="BX32" s="1134"/>
      <c r="BY32" s="1134"/>
      <c r="BZ32" s="1134"/>
      <c r="CA32" s="1134"/>
      <c r="CB32" s="1134"/>
      <c r="CC32" s="1134"/>
      <c r="CD32" s="1134"/>
      <c r="CE32" s="1134"/>
      <c r="CF32" s="1134"/>
      <c r="CG32" s="1134"/>
      <c r="CH32" s="1134"/>
      <c r="CI32" s="1134"/>
      <c r="CJ32" s="1134"/>
      <c r="CK32" s="1134"/>
      <c r="CL32" s="1134"/>
      <c r="CM32" s="1134"/>
      <c r="CN32" s="1134"/>
      <c r="CO32" s="1134"/>
      <c r="CP32" s="1134"/>
      <c r="CQ32" s="1134"/>
      <c r="CR32" s="1134"/>
      <c r="CS32" s="1134"/>
      <c r="CT32" s="1134"/>
      <c r="CU32" s="1134"/>
      <c r="CV32" s="1134"/>
      <c r="CW32" s="1134"/>
      <c r="CX32" s="1134"/>
      <c r="CY32" s="1134"/>
      <c r="CZ32" s="1134"/>
      <c r="DA32" s="1134"/>
      <c r="DB32" s="1134"/>
      <c r="DC32" s="1134"/>
      <c r="DD32" s="1134"/>
      <c r="DE32" s="1134"/>
      <c r="DF32" s="1134"/>
      <c r="DG32" s="1134"/>
      <c r="DH32" s="1134"/>
      <c r="DI32" s="1134"/>
      <c r="DJ32" s="1134"/>
      <c r="DK32" s="1134"/>
      <c r="DL32" s="1134"/>
      <c r="DM32" s="1134"/>
      <c r="DN32" s="1134"/>
      <c r="DO32" s="1134"/>
      <c r="DP32" s="1134"/>
      <c r="DQ32" s="1134"/>
      <c r="DR32" s="1134"/>
      <c r="DS32" s="1134"/>
      <c r="DT32" s="1134"/>
      <c r="DU32" s="1134"/>
      <c r="DV32" s="1134"/>
      <c r="DW32" s="1134"/>
      <c r="DX32" s="1134"/>
      <c r="DY32" s="1134"/>
      <c r="DZ32" s="1134"/>
      <c r="EA32" s="1134"/>
      <c r="EB32" s="1134"/>
      <c r="EC32" s="1134"/>
      <c r="ED32" s="1134"/>
      <c r="EE32" s="1134"/>
      <c r="EF32" s="1134"/>
      <c r="EG32" s="1134"/>
      <c r="EH32" s="1134"/>
      <c r="EI32" s="1134"/>
      <c r="EJ32" s="1134"/>
      <c r="EK32" s="1134"/>
      <c r="EL32" s="1134"/>
      <c r="EM32" s="1134"/>
      <c r="EN32" s="1134"/>
      <c r="EO32" s="1134"/>
      <c r="EP32" s="1134"/>
      <c r="EQ32" s="1134"/>
      <c r="ER32" s="1134"/>
      <c r="ES32" s="1134"/>
      <c r="ET32" s="1134"/>
      <c r="EU32" s="1134"/>
      <c r="EV32" s="1134"/>
      <c r="EW32" s="1134"/>
      <c r="EX32" s="1134"/>
      <c r="EY32" s="1134"/>
      <c r="EZ32" s="1134"/>
      <c r="FA32" s="1134"/>
      <c r="FB32" s="1134"/>
      <c r="FC32" s="1134"/>
      <c r="FD32" s="1134"/>
      <c r="FE32" s="1134"/>
      <c r="FF32" s="1134"/>
      <c r="FG32" s="1134"/>
      <c r="FH32" s="1134"/>
      <c r="FI32" s="1134"/>
      <c r="FJ32" s="1134"/>
      <c r="FK32" s="1134"/>
      <c r="FL32" s="1134"/>
      <c r="FM32" s="1134"/>
      <c r="FN32" s="1134"/>
      <c r="FO32" s="1134"/>
      <c r="FP32" s="1134"/>
      <c r="FQ32" s="1134"/>
      <c r="FR32" s="1134"/>
      <c r="FS32" s="1134"/>
      <c r="FT32" s="1134"/>
      <c r="FU32" s="1134"/>
      <c r="FV32" s="1134"/>
      <c r="FW32" s="1134"/>
      <c r="FX32" s="1134"/>
      <c r="FY32" s="1134"/>
      <c r="FZ32" s="1134"/>
      <c r="GA32" s="1134"/>
      <c r="GB32" s="1134"/>
      <c r="GC32" s="1134"/>
      <c r="GD32" s="1134"/>
      <c r="GE32" s="1134"/>
      <c r="GF32" s="1134"/>
      <c r="GG32" s="1134"/>
      <c r="GH32" s="1134"/>
      <c r="GI32" s="1134"/>
      <c r="GJ32" s="1134"/>
      <c r="GK32" s="1134"/>
      <c r="GL32" s="1134"/>
      <c r="GM32" s="1134"/>
      <c r="GN32" s="1134"/>
      <c r="GO32" s="1134"/>
      <c r="GP32" s="1134"/>
      <c r="GQ32" s="1134"/>
      <c r="GR32" s="1134"/>
      <c r="GS32" s="1134"/>
      <c r="GT32" s="1134"/>
      <c r="GU32" s="1134"/>
      <c r="GV32" s="1134"/>
      <c r="GW32" s="1134"/>
      <c r="GX32" s="1134"/>
      <c r="GY32" s="1134"/>
      <c r="GZ32" s="1134"/>
      <c r="HA32" s="1134"/>
      <c r="HB32" s="1134"/>
      <c r="HC32" s="1134"/>
      <c r="HD32" s="1134"/>
      <c r="HE32" s="1134"/>
      <c r="HF32" s="1134"/>
      <c r="HG32" s="1134"/>
      <c r="HH32" s="1134"/>
      <c r="HI32" s="1134"/>
      <c r="HJ32" s="1134"/>
      <c r="HK32" s="1134"/>
      <c r="HL32" s="1134"/>
      <c r="HM32" s="1134"/>
      <c r="HN32" s="1134"/>
      <c r="HO32" s="1134"/>
      <c r="HP32" s="1134"/>
      <c r="HQ32" s="1134"/>
      <c r="HR32" s="1134"/>
      <c r="HS32" s="1134"/>
      <c r="HT32" s="1134"/>
      <c r="HU32" s="1134"/>
      <c r="HV32" s="1134"/>
      <c r="HW32" s="1134"/>
      <c r="HX32" s="1134"/>
      <c r="HY32" s="1134"/>
      <c r="HZ32" s="1134"/>
      <c r="IA32" s="1134"/>
      <c r="IB32" s="1134"/>
      <c r="IC32" s="1134"/>
      <c r="ID32" s="1134"/>
      <c r="IE32" s="1134"/>
      <c r="IF32" s="1134"/>
      <c r="IG32" s="1134"/>
      <c r="IH32" s="1134"/>
      <c r="II32" s="1134"/>
      <c r="IJ32" s="1134"/>
      <c r="IK32" s="1134"/>
      <c r="IL32" s="1134"/>
      <c r="IM32" s="1134"/>
      <c r="IN32" s="1134"/>
      <c r="IO32" s="1134"/>
      <c r="IP32" s="1134"/>
      <c r="IQ32" s="1134"/>
      <c r="IR32" s="1134"/>
      <c r="IS32" s="1134"/>
      <c r="IT32" s="1134"/>
      <c r="IU32" s="1134"/>
      <c r="IV32" s="1134"/>
    </row>
    <row r="33" spans="1:14" ht="18.95" customHeight="1">
      <c r="A33" s="859" t="s">
        <v>44</v>
      </c>
      <c r="B33" s="849" t="str">
        <f t="shared" si="0"/>
        <v>has data</v>
      </c>
      <c r="C33" s="888" t="str">
        <f>IF(D33=0,"",IF('FreshRet-4 YR'!H2=0,"ERROR","ok"))</f>
        <v>ok</v>
      </c>
      <c r="D33" s="909">
        <f>'FreshRet-4 YR'!H1</f>
        <v>6</v>
      </c>
      <c r="E33" s="913"/>
      <c r="F33" s="1132"/>
      <c r="G33" s="1132"/>
      <c r="H33" s="1132"/>
      <c r="I33" s="1132"/>
      <c r="J33" s="1132"/>
      <c r="K33" s="1132"/>
      <c r="L33" s="1132"/>
      <c r="M33" s="1132"/>
      <c r="N33" s="1132"/>
    </row>
    <row r="34" spans="1:14" ht="18.95" customHeight="1" thickBot="1">
      <c r="A34" s="859"/>
      <c r="B34" s="859"/>
      <c r="C34" s="859"/>
      <c r="D34" s="856" t="e">
        <f>#REF!</f>
        <v>#REF!</v>
      </c>
      <c r="E34" s="1134"/>
      <c r="F34" s="1132"/>
      <c r="G34" s="1132"/>
      <c r="H34" s="1132"/>
      <c r="I34" s="1132"/>
      <c r="J34" s="1132"/>
      <c r="K34" s="1132"/>
      <c r="L34" s="1132"/>
      <c r="M34" s="1132"/>
      <c r="N34" s="1132"/>
    </row>
    <row r="35" spans="1:14" ht="42" customHeight="1" thickTop="1">
      <c r="A35" s="1151" t="s">
        <v>45</v>
      </c>
      <c r="B35" s="963" t="s">
        <v>46</v>
      </c>
      <c r="C35" s="964"/>
      <c r="D35" s="964"/>
      <c r="E35" s="1132"/>
      <c r="F35" s="1132"/>
      <c r="G35" s="1132"/>
      <c r="H35" s="1132"/>
      <c r="I35" s="1132"/>
      <c r="J35" s="1132"/>
      <c r="K35" s="1132"/>
      <c r="L35" s="1132"/>
      <c r="M35" s="1132"/>
      <c r="N35" s="1132"/>
    </row>
    <row r="36" spans="1:14" ht="69" customHeight="1">
      <c r="A36" s="1150"/>
      <c r="B36" s="965" t="s">
        <v>47</v>
      </c>
      <c r="C36" s="966"/>
      <c r="D36" s="966"/>
      <c r="E36" s="1132"/>
      <c r="F36" s="1132"/>
      <c r="G36" s="1132"/>
      <c r="H36" s="1132"/>
      <c r="I36" s="1132"/>
      <c r="J36" s="1132"/>
      <c r="K36" s="1132"/>
      <c r="L36" s="1132"/>
      <c r="M36" s="1132"/>
      <c r="N36" s="1132"/>
    </row>
    <row r="37" spans="1:14" ht="51.75" customHeight="1">
      <c r="A37" s="1132"/>
      <c r="B37" s="1132"/>
      <c r="C37" s="1132"/>
      <c r="D37" s="1132"/>
      <c r="E37" s="1132"/>
      <c r="F37" s="1132"/>
      <c r="G37" s="1132"/>
      <c r="H37" s="1132"/>
      <c r="I37" s="1132"/>
      <c r="J37" s="1132"/>
      <c r="K37" s="1132"/>
      <c r="L37" s="1132"/>
      <c r="M37" s="1132"/>
      <c r="N37" s="1132"/>
    </row>
    <row r="38" spans="1:14">
      <c r="A38" s="867"/>
      <c r="B38" s="867"/>
      <c r="C38" s="867"/>
      <c r="D38" s="867"/>
      <c r="E38" s="867"/>
      <c r="F38" s="1132"/>
      <c r="G38" s="1132"/>
      <c r="H38" s="1132"/>
      <c r="I38" s="1132"/>
      <c r="J38" s="1132"/>
      <c r="K38" s="1132"/>
      <c r="L38" s="1132"/>
      <c r="M38" s="1132"/>
      <c r="N38" s="1132"/>
    </row>
    <row r="39" spans="1:14" ht="21.75" customHeight="1">
      <c r="A39" s="867"/>
      <c r="B39" s="867"/>
      <c r="C39" s="867"/>
      <c r="D39" s="867"/>
      <c r="E39" s="867"/>
      <c r="F39" s="1132"/>
      <c r="G39" s="1132"/>
      <c r="H39" s="1132"/>
      <c r="I39" s="1132"/>
      <c r="J39" s="1132"/>
      <c r="K39" s="1132"/>
      <c r="L39" s="1132"/>
      <c r="M39" s="1132"/>
      <c r="N39" s="1132"/>
    </row>
    <row r="40" spans="1:14">
      <c r="A40" s="867"/>
      <c r="B40" s="867"/>
      <c r="C40" s="867"/>
      <c r="D40" s="867"/>
      <c r="E40" s="867"/>
      <c r="F40" s="1132"/>
      <c r="G40" s="1132"/>
      <c r="H40" s="1132"/>
      <c r="I40" s="1132"/>
      <c r="J40" s="1132"/>
      <c r="K40" s="1132"/>
      <c r="L40" s="1132"/>
      <c r="M40" s="1132"/>
      <c r="N40" s="1132"/>
    </row>
    <row r="41" spans="1:14">
      <c r="A41" s="1134"/>
      <c r="B41" s="867"/>
      <c r="C41" s="867"/>
      <c r="D41" s="867"/>
      <c r="E41" s="867"/>
      <c r="F41" s="1132"/>
      <c r="G41" s="1132"/>
      <c r="H41" s="1132"/>
      <c r="I41" s="1132"/>
      <c r="J41" s="1132"/>
      <c r="K41" s="1132"/>
      <c r="L41" s="1132"/>
      <c r="M41" s="1132"/>
      <c r="N41" s="1132"/>
    </row>
    <row r="42" spans="1:14">
      <c r="A42" s="867"/>
      <c r="B42" s="867"/>
      <c r="C42" s="867"/>
      <c r="D42" s="867"/>
      <c r="E42" s="867"/>
      <c r="F42" s="1132"/>
      <c r="G42" s="1132"/>
      <c r="H42" s="1132"/>
      <c r="I42" s="1132"/>
      <c r="J42" s="1132"/>
      <c r="K42" s="1132"/>
      <c r="L42" s="1132"/>
      <c r="M42" s="1132"/>
      <c r="N42" s="1132"/>
    </row>
    <row r="43" spans="1:14">
      <c r="A43" s="867"/>
      <c r="B43" s="867"/>
      <c r="C43" s="867"/>
      <c r="D43" s="867"/>
      <c r="E43" s="867"/>
      <c r="F43" s="1132"/>
      <c r="G43" s="1132"/>
      <c r="H43" s="1132"/>
      <c r="I43" s="1132"/>
      <c r="J43" s="1132"/>
      <c r="K43" s="1132"/>
      <c r="L43" s="1132"/>
      <c r="M43" s="1132"/>
      <c r="N43" s="1132"/>
    </row>
    <row r="44" spans="1:14">
      <c r="A44" s="844"/>
      <c r="B44" s="1132"/>
      <c r="C44" s="1132"/>
      <c r="D44" s="1132"/>
      <c r="E44" s="1132"/>
      <c r="F44" s="1132"/>
      <c r="G44" s="1132"/>
      <c r="H44" s="1132"/>
      <c r="I44" s="1132"/>
      <c r="J44" s="1132"/>
      <c r="K44" s="1132"/>
      <c r="L44" s="1132"/>
      <c r="M44" s="1132"/>
      <c r="N44" s="1132"/>
    </row>
    <row r="45" spans="1:14">
      <c r="A45" s="844"/>
      <c r="B45" s="1132"/>
      <c r="C45" s="1132"/>
      <c r="D45" s="1132"/>
      <c r="E45" s="1132"/>
      <c r="F45" s="1132"/>
      <c r="G45" s="1132"/>
      <c r="H45" s="1132"/>
      <c r="I45" s="1132"/>
      <c r="J45" s="1132"/>
      <c r="K45" s="1132"/>
      <c r="L45" s="1132"/>
      <c r="M45" s="1132"/>
      <c r="N45" s="1132"/>
    </row>
    <row r="46" spans="1:14">
      <c r="A46" s="844"/>
      <c r="B46" s="1132"/>
      <c r="C46" s="1132"/>
      <c r="D46" s="1132"/>
      <c r="E46" s="1132"/>
      <c r="F46" s="1132"/>
      <c r="G46" s="1132"/>
      <c r="H46" s="1132"/>
      <c r="I46" s="1132"/>
      <c r="J46" s="1132"/>
      <c r="K46" s="1132"/>
      <c r="L46" s="1132"/>
      <c r="M46" s="1132"/>
      <c r="N46" s="1132"/>
    </row>
    <row r="47" spans="1:14">
      <c r="A47" s="844"/>
      <c r="B47" s="1132"/>
      <c r="C47" s="1132"/>
      <c r="D47" s="1132"/>
      <c r="E47" s="1132"/>
      <c r="F47" s="1132"/>
      <c r="G47" s="1132"/>
      <c r="H47" s="1132"/>
      <c r="I47" s="1132"/>
      <c r="J47" s="1132"/>
      <c r="K47" s="1132"/>
      <c r="L47" s="1132"/>
      <c r="M47" s="1132"/>
      <c r="N47" s="1132"/>
    </row>
    <row r="48" spans="1:14">
      <c r="A48" s="844"/>
      <c r="B48" s="1132"/>
      <c r="C48" s="1132"/>
      <c r="D48" s="1132"/>
      <c r="E48" s="1132"/>
      <c r="F48" s="1132"/>
      <c r="G48" s="1132"/>
      <c r="H48" s="1132"/>
      <c r="I48" s="1132"/>
      <c r="J48" s="1132"/>
      <c r="K48" s="1132"/>
      <c r="L48" s="1132"/>
      <c r="M48" s="1132"/>
      <c r="N48" s="1132"/>
    </row>
    <row r="49" spans="1:14">
      <c r="A49" s="844"/>
      <c r="B49" s="1132"/>
      <c r="C49" s="1132"/>
      <c r="D49" s="1132"/>
      <c r="E49" s="1132"/>
      <c r="F49" s="1132"/>
      <c r="G49" s="1132"/>
      <c r="H49" s="1132"/>
      <c r="I49" s="1132"/>
      <c r="J49" s="1132"/>
      <c r="K49" s="1132"/>
      <c r="L49" s="1132"/>
      <c r="M49" s="1132"/>
      <c r="N49" s="1132"/>
    </row>
    <row r="50" spans="1:14">
      <c r="A50" s="844"/>
      <c r="B50" s="1132"/>
      <c r="C50" s="1132"/>
      <c r="D50" s="1132"/>
      <c r="E50" s="1132"/>
      <c r="F50" s="1132"/>
      <c r="G50" s="1132"/>
      <c r="H50" s="1132"/>
      <c r="I50" s="1132"/>
      <c r="J50" s="1132"/>
      <c r="K50" s="1132"/>
      <c r="L50" s="1132"/>
      <c r="M50" s="1132"/>
      <c r="N50" s="1132"/>
    </row>
    <row r="51" spans="1:14">
      <c r="A51" s="844"/>
      <c r="B51" s="1132"/>
      <c r="C51" s="1132"/>
      <c r="D51" s="1132"/>
      <c r="E51" s="1132"/>
      <c r="F51" s="1132"/>
      <c r="G51" s="1132"/>
      <c r="H51" s="1132"/>
      <c r="I51" s="1132"/>
      <c r="J51" s="1132"/>
      <c r="K51" s="1132"/>
      <c r="L51" s="1132"/>
      <c r="M51" s="1132"/>
      <c r="N51" s="1132"/>
    </row>
    <row r="52" spans="1:14">
      <c r="A52" s="844"/>
      <c r="B52" s="1132"/>
      <c r="C52" s="1132"/>
      <c r="D52" s="1132"/>
      <c r="E52" s="1132"/>
      <c r="F52" s="1132"/>
      <c r="G52" s="1132"/>
      <c r="H52" s="1132"/>
      <c r="I52" s="1132"/>
      <c r="J52" s="1132"/>
      <c r="K52" s="1132"/>
      <c r="L52" s="1132"/>
      <c r="M52" s="1132"/>
      <c r="N52" s="1132"/>
    </row>
    <row r="53" spans="1:14">
      <c r="A53" s="844"/>
      <c r="B53" s="1132"/>
      <c r="C53" s="1132"/>
      <c r="D53" s="1132"/>
      <c r="E53" s="1132"/>
      <c r="F53" s="1132"/>
      <c r="G53" s="1132"/>
      <c r="H53" s="1132"/>
      <c r="I53" s="1132"/>
      <c r="J53" s="1132"/>
      <c r="K53" s="1132"/>
      <c r="L53" s="1132"/>
      <c r="M53" s="1132"/>
      <c r="N53" s="1132"/>
    </row>
    <row r="54" spans="1:14">
      <c r="A54" s="844"/>
      <c r="B54" s="1132"/>
      <c r="C54" s="1132"/>
      <c r="D54" s="1132"/>
      <c r="E54" s="1132"/>
      <c r="F54" s="1132"/>
      <c r="G54" s="1132"/>
      <c r="H54" s="1132"/>
      <c r="I54" s="1132"/>
      <c r="J54" s="1132"/>
      <c r="K54" s="1132"/>
      <c r="L54" s="1132"/>
      <c r="M54" s="1132"/>
      <c r="N54" s="1132"/>
    </row>
    <row r="55" spans="1:14">
      <c r="A55" s="844"/>
      <c r="B55" s="1132"/>
      <c r="C55" s="1132"/>
      <c r="D55" s="1132"/>
      <c r="E55" s="1132"/>
      <c r="F55" s="1132"/>
      <c r="G55" s="1132"/>
      <c r="H55" s="1132"/>
      <c r="I55" s="1132"/>
      <c r="J55" s="1132"/>
      <c r="K55" s="1132"/>
      <c r="L55" s="1132"/>
      <c r="M55" s="1132"/>
      <c r="N55" s="1132"/>
    </row>
    <row r="56" spans="1:14">
      <c r="A56" s="1132"/>
      <c r="B56" s="1132"/>
      <c r="C56" s="1132"/>
      <c r="D56" s="1132"/>
      <c r="E56" s="1132"/>
      <c r="F56" s="1132"/>
      <c r="G56" s="1132"/>
      <c r="H56" s="1132"/>
      <c r="I56" s="1132"/>
      <c r="J56" s="1132"/>
      <c r="K56" s="1132"/>
      <c r="L56" s="1132"/>
      <c r="M56" s="1132"/>
      <c r="N56" s="1132"/>
    </row>
    <row r="57" spans="1:14" ht="18" customHeight="1">
      <c r="A57" s="1132"/>
      <c r="B57" s="1132"/>
      <c r="C57" s="1132"/>
      <c r="D57" s="1132"/>
      <c r="E57" s="1132"/>
      <c r="F57" s="1132"/>
      <c r="G57" s="1132"/>
      <c r="H57" s="1132"/>
      <c r="I57" s="1132"/>
      <c r="J57" s="1132"/>
      <c r="K57" s="1132"/>
      <c r="L57" s="1132"/>
      <c r="M57" s="1132"/>
      <c r="N57" s="1132"/>
    </row>
    <row r="58" spans="1:14">
      <c r="A58" s="1132"/>
      <c r="B58" s="1132"/>
      <c r="C58" s="1132"/>
      <c r="D58" s="1132"/>
      <c r="E58" s="1132"/>
      <c r="F58" s="1132"/>
      <c r="G58" s="1132"/>
      <c r="H58" s="1132"/>
      <c r="I58" s="1132"/>
      <c r="J58" s="1132"/>
      <c r="K58" s="1132"/>
      <c r="L58" s="1132"/>
      <c r="M58" s="1132"/>
      <c r="N58" s="1132"/>
    </row>
    <row r="59" spans="1:14">
      <c r="A59" s="847">
        <v>2021</v>
      </c>
      <c r="B59" s="1132"/>
      <c r="C59" s="1132"/>
      <c r="D59" s="1132"/>
      <c r="E59" s="1132"/>
      <c r="F59" s="1132"/>
      <c r="G59" s="1132"/>
      <c r="H59" s="1132"/>
      <c r="I59" s="1132"/>
      <c r="J59" s="1132"/>
      <c r="K59" s="1132"/>
      <c r="L59" s="1132"/>
      <c r="M59" s="1132"/>
      <c r="N59" s="1132"/>
    </row>
    <row r="60" spans="1:14">
      <c r="A60" s="847">
        <f>+A59-1</f>
        <v>2020</v>
      </c>
      <c r="B60" s="1132"/>
      <c r="C60" s="1132"/>
      <c r="D60" s="1132"/>
      <c r="E60" s="1132"/>
      <c r="F60" s="1132"/>
      <c r="G60" s="1132"/>
      <c r="H60" s="1132"/>
      <c r="I60" s="1132"/>
      <c r="J60" s="1132"/>
      <c r="K60" s="1132"/>
      <c r="L60" s="1132"/>
      <c r="M60" s="1132"/>
      <c r="N60" s="1132"/>
    </row>
    <row r="61" spans="1:14">
      <c r="A61" s="847">
        <f>+A60-1</f>
        <v>2019</v>
      </c>
      <c r="B61" s="1132"/>
      <c r="C61" s="1132"/>
      <c r="D61" s="1132"/>
      <c r="E61" s="1132"/>
      <c r="F61" s="1132"/>
      <c r="G61" s="1132"/>
      <c r="H61" s="1132"/>
      <c r="I61" s="1132"/>
      <c r="J61" s="1132"/>
      <c r="K61" s="1132"/>
      <c r="L61" s="1132"/>
      <c r="M61" s="1132"/>
      <c r="N61" s="1132"/>
    </row>
    <row r="62" spans="1:14">
      <c r="A62" s="847" t="str">
        <f>+RIGHT(A59,2)&amp;RIGHT(A65,2)</f>
        <v>2122</v>
      </c>
      <c r="B62" s="1132"/>
      <c r="C62" s="1132"/>
      <c r="D62" s="1132"/>
      <c r="E62" s="1132"/>
      <c r="F62" s="1132"/>
      <c r="G62" s="1132"/>
      <c r="H62" s="1132"/>
      <c r="I62" s="1132"/>
      <c r="J62" s="1132"/>
      <c r="K62" s="1132"/>
      <c r="L62" s="1132"/>
      <c r="M62" s="1132"/>
      <c r="N62" s="1132"/>
    </row>
    <row r="63" spans="1:14">
      <c r="A63" s="847" t="str">
        <f>+A60&amp;"-"&amp;RIGHT(A59,2)</f>
        <v>2020-21</v>
      </c>
      <c r="B63" s="1132"/>
      <c r="C63" s="1132"/>
      <c r="D63" s="1132"/>
      <c r="E63" s="1132"/>
      <c r="F63" s="1132"/>
      <c r="G63" s="1132"/>
      <c r="H63" s="1132"/>
      <c r="I63" s="1132"/>
      <c r="J63" s="1132"/>
      <c r="K63" s="1132"/>
      <c r="L63" s="1132"/>
      <c r="M63" s="1132"/>
      <c r="N63" s="1132"/>
    </row>
    <row r="64" spans="1:14">
      <c r="A64" s="847" t="str">
        <f>+A61&amp;"-"&amp;RIGHT(A60,2)</f>
        <v>2019-20</v>
      </c>
      <c r="B64" s="1132"/>
      <c r="C64" s="1132"/>
      <c r="D64" s="1132"/>
      <c r="E64" s="1132"/>
      <c r="F64" s="1132"/>
      <c r="G64" s="1132"/>
      <c r="H64" s="1132"/>
      <c r="I64" s="1132"/>
      <c r="J64" s="1132"/>
      <c r="K64" s="1132"/>
      <c r="L64" s="1132"/>
      <c r="M64" s="1132"/>
      <c r="N64" s="1132"/>
    </row>
    <row r="65" spans="1:14">
      <c r="A65" s="847">
        <f>A59+1</f>
        <v>2022</v>
      </c>
      <c r="B65" s="1132"/>
      <c r="C65" s="1132"/>
      <c r="D65" s="1132"/>
      <c r="E65" s="1132"/>
      <c r="F65" s="1132"/>
      <c r="G65" s="1132"/>
      <c r="H65" s="1132"/>
      <c r="I65" s="1132"/>
      <c r="J65" s="1132"/>
      <c r="K65" s="1132"/>
      <c r="L65" s="1132"/>
      <c r="M65" s="1132"/>
      <c r="N65" s="1132"/>
    </row>
    <row r="66" spans="1:14">
      <c r="A66" s="1132"/>
      <c r="B66" s="1132"/>
      <c r="C66" s="1132"/>
      <c r="D66" s="1132"/>
      <c r="E66" s="1132"/>
      <c r="F66" s="1132"/>
      <c r="G66" s="1132"/>
      <c r="H66" s="1132"/>
      <c r="I66" s="1132"/>
      <c r="J66" s="1132"/>
      <c r="K66" s="1132"/>
      <c r="L66" s="1132"/>
      <c r="M66" s="1132"/>
      <c r="N66" s="1132"/>
    </row>
    <row r="67" spans="1:14">
      <c r="A67" s="1132"/>
      <c r="B67" s="1132"/>
      <c r="C67" s="1132"/>
      <c r="D67" s="1132"/>
      <c r="E67" s="1132"/>
      <c r="F67" s="1132"/>
      <c r="G67" s="1132"/>
      <c r="H67" s="1132"/>
      <c r="I67" s="1132"/>
      <c r="J67" s="1132"/>
      <c r="K67" s="1132"/>
      <c r="L67" s="1132"/>
      <c r="M67" s="1132"/>
      <c r="N67" s="1132"/>
    </row>
    <row r="68" spans="1:14">
      <c r="A68" s="1132"/>
      <c r="B68" s="1132"/>
      <c r="C68" s="1132"/>
      <c r="D68" s="1132"/>
      <c r="E68" s="1132"/>
      <c r="F68" s="1132"/>
      <c r="G68" s="1132"/>
      <c r="H68" s="1132"/>
      <c r="I68" s="1132"/>
      <c r="J68" s="1132"/>
      <c r="K68" s="1132"/>
      <c r="L68" s="1132"/>
      <c r="M68" s="1132"/>
      <c r="N68" s="1132"/>
    </row>
    <row r="69" spans="1:14">
      <c r="A69" s="1132"/>
      <c r="B69" s="1132"/>
      <c r="C69" s="1132"/>
      <c r="D69" s="1132"/>
      <c r="E69" s="1132"/>
      <c r="F69" s="1132"/>
      <c r="G69" s="1132"/>
      <c r="H69" s="1132"/>
      <c r="I69" s="1132"/>
      <c r="J69" s="1132"/>
      <c r="K69" s="1132"/>
      <c r="L69" s="1132"/>
      <c r="M69" s="1132"/>
      <c r="N69" s="1132"/>
    </row>
    <row r="70" spans="1:14">
      <c r="A70" s="1132"/>
      <c r="B70" s="1132"/>
      <c r="C70" s="1132"/>
      <c r="D70" s="1132"/>
      <c r="E70" s="1132"/>
      <c r="F70" s="1132"/>
      <c r="G70" s="1132"/>
      <c r="H70" s="1132"/>
      <c r="I70" s="1132"/>
      <c r="J70" s="1132"/>
      <c r="K70" s="1132"/>
      <c r="L70" s="1132"/>
      <c r="M70" s="1132"/>
      <c r="N70" s="1132"/>
    </row>
    <row r="71" spans="1:14">
      <c r="A71" s="1132"/>
      <c r="B71" s="1132"/>
      <c r="C71" s="1132"/>
      <c r="D71" s="1132"/>
      <c r="E71" s="1132"/>
      <c r="F71" s="1132"/>
      <c r="G71" s="1132"/>
      <c r="H71" s="1132"/>
      <c r="I71" s="1132"/>
      <c r="J71" s="1132"/>
      <c r="K71" s="1132"/>
      <c r="L71" s="1132"/>
      <c r="M71" s="1132"/>
      <c r="N71" s="1132"/>
    </row>
    <row r="72" spans="1:14">
      <c r="A72" s="1132"/>
      <c r="B72" s="1132"/>
      <c r="C72" s="1132"/>
      <c r="D72" s="1132"/>
      <c r="E72" s="1132"/>
      <c r="F72" s="1132"/>
      <c r="G72" s="1132"/>
      <c r="H72" s="1132"/>
      <c r="I72" s="1132"/>
      <c r="J72" s="1132"/>
      <c r="K72" s="1132"/>
      <c r="L72" s="1132"/>
      <c r="M72" s="1132"/>
      <c r="N72" s="1132"/>
    </row>
    <row r="73" spans="1:14">
      <c r="A73" s="1132"/>
      <c r="B73" s="1132"/>
      <c r="C73" s="1132"/>
      <c r="D73" s="1132"/>
      <c r="E73" s="1132"/>
      <c r="F73" s="1132"/>
      <c r="G73" s="1132"/>
      <c r="H73" s="1132"/>
      <c r="I73" s="1132"/>
      <c r="J73" s="1132"/>
      <c r="K73" s="1132"/>
      <c r="L73" s="1132"/>
      <c r="M73" s="1132"/>
      <c r="N73" s="1132"/>
    </row>
    <row r="74" spans="1:14">
      <c r="A74" s="1132"/>
      <c r="B74" s="1132"/>
      <c r="C74" s="1132"/>
      <c r="D74" s="1132"/>
      <c r="E74" s="1132"/>
      <c r="F74" s="1132"/>
      <c r="G74" s="1132"/>
      <c r="H74" s="1132"/>
      <c r="I74" s="1132"/>
      <c r="J74" s="1132"/>
      <c r="K74" s="1132"/>
      <c r="L74" s="1132"/>
      <c r="M74" s="1132"/>
      <c r="N74" s="1132"/>
    </row>
    <row r="75" spans="1:14">
      <c r="A75" s="1132"/>
      <c r="B75" s="1132"/>
      <c r="C75" s="1132"/>
      <c r="D75" s="1132"/>
      <c r="E75" s="1132"/>
      <c r="F75" s="1132"/>
      <c r="G75" s="1132"/>
      <c r="H75" s="1132"/>
      <c r="I75" s="1132"/>
      <c r="J75" s="1132"/>
      <c r="K75" s="1132"/>
      <c r="L75" s="1132"/>
      <c r="M75" s="1132"/>
      <c r="N75" s="1132"/>
    </row>
    <row r="76" spans="1:14">
      <c r="A76" s="1132"/>
      <c r="B76" s="1132"/>
      <c r="C76" s="1132"/>
      <c r="D76" s="1132"/>
      <c r="E76" s="1132"/>
      <c r="F76" s="1132"/>
      <c r="G76" s="1132"/>
      <c r="H76" s="1132"/>
      <c r="I76" s="1132"/>
      <c r="J76" s="1132"/>
      <c r="K76" s="1132"/>
      <c r="L76" s="1132"/>
      <c r="M76" s="1132"/>
      <c r="N76" s="1132"/>
    </row>
    <row r="77" spans="1:14">
      <c r="A77" s="1132"/>
      <c r="B77" s="1132"/>
      <c r="C77" s="1132"/>
      <c r="D77" s="1132"/>
      <c r="E77" s="1132"/>
      <c r="F77" s="1132"/>
      <c r="G77" s="1132"/>
      <c r="H77" s="1132"/>
      <c r="I77" s="1132"/>
      <c r="J77" s="1132"/>
      <c r="K77" s="1132"/>
      <c r="L77" s="1132"/>
      <c r="M77" s="1132"/>
      <c r="N77" s="1132"/>
    </row>
    <row r="78" spans="1:14">
      <c r="A78" s="1132"/>
      <c r="B78" s="1134"/>
      <c r="C78" s="1134"/>
      <c r="D78" s="1134"/>
      <c r="E78" s="1134"/>
      <c r="F78" s="1134"/>
      <c r="G78" s="1134"/>
      <c r="H78" s="1134"/>
      <c r="I78" s="1134"/>
      <c r="J78" s="1134"/>
      <c r="K78" s="1134"/>
      <c r="L78" s="1134"/>
      <c r="M78" s="1134"/>
      <c r="N78" s="1134"/>
    </row>
  </sheetData>
  <mergeCells count="15">
    <mergeCell ref="A1:D1"/>
    <mergeCell ref="C9:D9"/>
    <mergeCell ref="A17:C17"/>
    <mergeCell ref="C12:D12"/>
    <mergeCell ref="B4:B6"/>
    <mergeCell ref="C10:D10"/>
    <mergeCell ref="C8:D8"/>
    <mergeCell ref="A14:D14"/>
    <mergeCell ref="A15:D15"/>
    <mergeCell ref="B35:D35"/>
    <mergeCell ref="B36:D36"/>
    <mergeCell ref="A18:D18"/>
    <mergeCell ref="A19:D19"/>
    <mergeCell ref="B22:C22"/>
    <mergeCell ref="A20:D20"/>
  </mergeCells>
  <phoneticPr fontId="54" type="noConversion"/>
  <conditionalFormatting sqref="C23:C33">
    <cfRule type="expression" dxfId="2" priority="1" stopIfTrue="1">
      <formula>D23=0</formula>
    </cfRule>
  </conditionalFormatting>
  <conditionalFormatting sqref="C22">
    <cfRule type="expression" dxfId="1" priority="2" stopIfTrue="1">
      <formula>E21=0</formula>
    </cfRule>
  </conditionalFormatting>
  <conditionalFormatting sqref="B22">
    <cfRule type="expression" dxfId="0" priority="3" stopIfTrue="1">
      <formula>#REF!=0</formula>
    </cfRule>
  </conditionalFormatting>
  <hyperlinks>
    <hyperlink ref="C4" r:id="rId1" xr:uid="{00000000-0004-0000-0000-000000000000}"/>
    <hyperlink ref="A12" r:id="rId2" xr:uid="{00000000-0004-0000-0000-000001000000}"/>
  </hyperlinks>
  <pageMargins left="0.6" right="0.6" top="0.75" bottom="0.75" header="0.5" footer="0.5"/>
  <pageSetup scale="64" orientation="portrait" horizontalDpi="4294967292" r:id="rId3"/>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dimension ref="A1:CR94"/>
  <sheetViews>
    <sheetView showGridLines="0" showZeros="0" defaultGridColor="0" colorId="8" zoomScaleNormal="110" zoomScaleSheetLayoutView="50" workbookViewId="0"/>
  </sheetViews>
  <sheetFormatPr defaultColWidth="0" defaultRowHeight="10.15"/>
  <cols>
    <col min="1" max="1" width="40.625" style="12" customWidth="1"/>
    <col min="2" max="2" width="3" style="11" customWidth="1"/>
    <col min="3" max="3" width="4.125" style="12" customWidth="1"/>
    <col min="4" max="4" width="4.5" style="12" customWidth="1"/>
    <col min="5" max="5" width="4.125" style="12" customWidth="1"/>
    <col min="6" max="6" width="4.5" style="12" customWidth="1"/>
    <col min="7" max="7" width="4.125" style="12" customWidth="1"/>
    <col min="8" max="8" width="4.5" style="12" customWidth="1"/>
    <col min="9" max="9" width="4.125" style="12" customWidth="1"/>
    <col min="10" max="10" width="4.5" style="12" customWidth="1"/>
    <col min="11" max="11" width="4.125" style="12" customWidth="1"/>
    <col min="12" max="12" width="4.5" style="12" customWidth="1"/>
    <col min="13" max="14" width="5.125" style="12" customWidth="1"/>
    <col min="15" max="15" width="4.125" style="12" customWidth="1"/>
    <col min="16" max="20" width="4.5" style="12" customWidth="1"/>
    <col min="21" max="23" width="5.625" style="13" customWidth="1"/>
    <col min="24" max="24" width="2.875" style="12" customWidth="1"/>
    <col min="25" max="53" width="6.625" style="12" hidden="1" customWidth="1"/>
    <col min="54" max="16384" width="0" style="12" hidden="1"/>
  </cols>
  <sheetData>
    <row r="1" spans="1:96" s="3" customFormat="1" ht="27.6">
      <c r="A1" s="814" t="str">
        <f>Cover!A3</f>
        <v>FALL ENROLLMENT 2021</v>
      </c>
      <c r="B1" s="33"/>
      <c r="C1" s="33"/>
      <c r="D1" s="33"/>
      <c r="E1" s="33"/>
      <c r="F1" s="33"/>
      <c r="G1" s="33"/>
      <c r="H1" s="33"/>
      <c r="I1" s="33"/>
      <c r="J1" s="33"/>
      <c r="K1" s="33"/>
      <c r="L1" s="33"/>
      <c r="M1" s="33"/>
      <c r="N1" s="33"/>
      <c r="O1" s="33"/>
      <c r="P1" s="33"/>
      <c r="Q1" s="33"/>
      <c r="R1" s="33"/>
      <c r="S1" s="33"/>
      <c r="T1" s="33"/>
      <c r="U1" s="33"/>
      <c r="V1" s="33"/>
      <c r="W1" s="33"/>
      <c r="X1" s="790">
        <f>IF(COUNT(C18:P25,C28:P29,C32:P34,C48:P55,C58:P59,C62:P64)&gt;0,1,0)</f>
        <v>0</v>
      </c>
    </row>
    <row r="2" spans="1:96" s="4" customFormat="1">
      <c r="A2" s="249" t="str">
        <f>Cover!A62</f>
        <v>2122</v>
      </c>
      <c r="B2" s="56"/>
      <c r="C2" s="56"/>
      <c r="D2" s="56"/>
      <c r="E2" s="56"/>
      <c r="F2" s="56"/>
      <c r="G2" s="56"/>
      <c r="H2" s="56"/>
      <c r="I2" s="56"/>
      <c r="J2" s="56"/>
    </row>
    <row r="3" spans="1:96" s="3" customFormat="1" ht="13.9" thickBot="1">
      <c r="A3" s="802" t="str">
        <f>Cover!$A$8</f>
        <v>Western Connecticut State University</v>
      </c>
      <c r="B3" s="57"/>
      <c r="C3" s="58"/>
      <c r="D3" s="57"/>
      <c r="E3" s="57"/>
      <c r="F3" s="57"/>
      <c r="G3" s="57"/>
      <c r="H3" s="57"/>
      <c r="I3" s="57"/>
      <c r="J3" s="57"/>
      <c r="K3" s="5" t="s">
        <v>48</v>
      </c>
      <c r="M3" s="2"/>
      <c r="N3" s="6" t="str">
        <f>+Cover!$A$10</f>
        <v>Jerry Wilcox</v>
      </c>
      <c r="O3" s="7"/>
      <c r="P3" s="8"/>
      <c r="Q3" s="8"/>
      <c r="R3" s="8"/>
      <c r="S3" s="8"/>
      <c r="T3" s="8"/>
      <c r="U3" s="7"/>
      <c r="X3" s="789"/>
    </row>
    <row r="4" spans="1:96" s="3" customFormat="1" ht="13.9" thickBot="1">
      <c r="A4" s="31">
        <f>Cover!$B$8</f>
        <v>130776</v>
      </c>
      <c r="B4" s="57"/>
      <c r="C4" s="58"/>
      <c r="D4" s="57"/>
      <c r="E4" s="56"/>
      <c r="F4" s="57"/>
      <c r="G4" s="56"/>
      <c r="H4" s="57"/>
      <c r="I4" s="56"/>
      <c r="J4" s="57"/>
      <c r="K4" s="5" t="s">
        <v>49</v>
      </c>
      <c r="M4" s="9"/>
      <c r="N4" s="6" t="str">
        <f>+Cover!$B$10</f>
        <v>Director, Institutional Research and Assessment</v>
      </c>
      <c r="O4" s="7"/>
      <c r="P4" s="8"/>
      <c r="Q4" s="8"/>
      <c r="R4" s="8"/>
      <c r="S4" s="8"/>
      <c r="T4" s="8"/>
      <c r="U4" s="7"/>
    </row>
    <row r="5" spans="1:96" s="3" customFormat="1" ht="16.149999999999999" thickBot="1">
      <c r="A5" s="32" t="str">
        <f>Cover!$C$8</f>
        <v>Danbury</v>
      </c>
      <c r="B5" s="57"/>
      <c r="C5" s="58"/>
      <c r="D5" s="57"/>
      <c r="E5" s="56"/>
      <c r="F5" s="57"/>
      <c r="G5" s="56"/>
      <c r="H5" s="57"/>
      <c r="I5" s="56"/>
      <c r="J5" s="57"/>
      <c r="K5" s="5" t="s">
        <v>50</v>
      </c>
      <c r="M5" s="9"/>
      <c r="N5" s="990" t="str">
        <f>+Cover!$C$10</f>
        <v>203-837-8242</v>
      </c>
      <c r="O5" s="1152"/>
      <c r="P5" s="1152"/>
      <c r="Q5" s="939"/>
      <c r="R5" s="939"/>
      <c r="S5" s="939"/>
      <c r="T5" s="939"/>
      <c r="U5" s="7"/>
    </row>
    <row r="6" spans="1:96" ht="10.5" customHeight="1">
      <c r="A6" s="10"/>
      <c r="B6" s="56"/>
      <c r="C6" s="56"/>
      <c r="D6" s="56"/>
      <c r="E6" s="56"/>
      <c r="F6" s="56"/>
      <c r="G6" s="56"/>
      <c r="H6" s="56"/>
      <c r="I6" s="56"/>
      <c r="J6" s="56"/>
      <c r="L6" s="9"/>
      <c r="N6" s="9"/>
      <c r="P6" s="9"/>
      <c r="Q6" s="9"/>
      <c r="R6" s="9"/>
      <c r="S6" s="9"/>
      <c r="T6" s="9"/>
      <c r="V6" s="14"/>
      <c r="W6" s="14"/>
    </row>
    <row r="7" spans="1:96" ht="20.45">
      <c r="A7" s="537" t="s">
        <v>51</v>
      </c>
    </row>
    <row r="8" spans="1:96">
      <c r="A8" s="10" t="s">
        <v>52</v>
      </c>
    </row>
    <row r="9" spans="1: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96" ht="11.25" customHeight="1">
      <c r="A10" s="1006" t="s">
        <v>177</v>
      </c>
      <c r="B10" s="36"/>
      <c r="C10" s="991" t="s">
        <v>54</v>
      </c>
      <c r="D10" s="992"/>
      <c r="E10" s="991" t="s">
        <v>55</v>
      </c>
      <c r="F10" s="992"/>
      <c r="G10" s="991" t="s">
        <v>56</v>
      </c>
      <c r="H10" s="992"/>
      <c r="I10" s="991"/>
      <c r="J10" s="992"/>
      <c r="K10" s="991" t="s">
        <v>57</v>
      </c>
      <c r="L10" s="992"/>
      <c r="M10" s="991"/>
      <c r="N10" s="992"/>
      <c r="O10" s="991" t="s">
        <v>58</v>
      </c>
      <c r="P10" s="992"/>
      <c r="Q10" s="991" t="s">
        <v>59</v>
      </c>
      <c r="R10" s="992"/>
      <c r="S10" s="991" t="s">
        <v>60</v>
      </c>
      <c r="T10" s="992"/>
      <c r="U10" s="59" t="s">
        <v>61</v>
      </c>
      <c r="V10" s="60"/>
      <c r="W10" s="61"/>
    </row>
    <row r="11" spans="1:96" ht="12" customHeight="1">
      <c r="A11" s="1007"/>
      <c r="B11" s="20"/>
      <c r="C11" s="993" t="s">
        <v>62</v>
      </c>
      <c r="D11" s="994"/>
      <c r="E11" s="993" t="s">
        <v>63</v>
      </c>
      <c r="F11" s="994"/>
      <c r="G11" s="993" t="s">
        <v>64</v>
      </c>
      <c r="H11" s="994"/>
      <c r="I11" s="993" t="s">
        <v>65</v>
      </c>
      <c r="J11" s="994"/>
      <c r="K11" s="993" t="s">
        <v>66</v>
      </c>
      <c r="L11" s="994"/>
      <c r="M11" s="993" t="s">
        <v>67</v>
      </c>
      <c r="N11" s="994"/>
      <c r="O11" s="993" t="s">
        <v>68</v>
      </c>
      <c r="P11" s="994"/>
      <c r="Q11" s="993" t="s">
        <v>69</v>
      </c>
      <c r="R11" s="994"/>
      <c r="S11" s="993" t="s">
        <v>70</v>
      </c>
      <c r="T11" s="994"/>
      <c r="U11" s="62" t="s">
        <v>71</v>
      </c>
      <c r="V11" s="63"/>
      <c r="W11" s="64"/>
    </row>
    <row r="12" spans="1:96" s="17" customFormat="1" ht="12" customHeight="1">
      <c r="A12" s="1008">
        <v>511201</v>
      </c>
      <c r="B12" s="20"/>
      <c r="C12" s="995" t="s">
        <v>73</v>
      </c>
      <c r="D12" s="996"/>
      <c r="E12" s="995" t="s">
        <v>56</v>
      </c>
      <c r="F12" s="996"/>
      <c r="G12" s="995" t="s">
        <v>74</v>
      </c>
      <c r="H12" s="996"/>
      <c r="I12" s="995"/>
      <c r="J12" s="996"/>
      <c r="K12" s="995" t="s">
        <v>75</v>
      </c>
      <c r="L12" s="996"/>
      <c r="M12" s="995"/>
      <c r="N12" s="996"/>
      <c r="O12" s="995" t="s">
        <v>76</v>
      </c>
      <c r="P12" s="996"/>
      <c r="Q12" s="995" t="s">
        <v>77</v>
      </c>
      <c r="R12" s="996"/>
      <c r="S12" s="995" t="s">
        <v>78</v>
      </c>
      <c r="T12" s="996"/>
      <c r="U12" s="65" t="s">
        <v>79</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7.25" customHeight="1">
      <c r="A13" s="1155"/>
      <c r="B13" s="20" t="s">
        <v>80</v>
      </c>
      <c r="C13" s="68" t="s">
        <v>81</v>
      </c>
      <c r="D13" s="23" t="s">
        <v>82</v>
      </c>
      <c r="E13" s="68" t="s">
        <v>81</v>
      </c>
      <c r="F13" s="23" t="s">
        <v>82</v>
      </c>
      <c r="G13" s="68" t="s">
        <v>81</v>
      </c>
      <c r="H13" s="23" t="s">
        <v>82</v>
      </c>
      <c r="I13" s="68" t="s">
        <v>81</v>
      </c>
      <c r="J13" s="23" t="s">
        <v>82</v>
      </c>
      <c r="K13" s="68" t="s">
        <v>81</v>
      </c>
      <c r="L13" s="23" t="s">
        <v>82</v>
      </c>
      <c r="M13" s="68" t="s">
        <v>81</v>
      </c>
      <c r="N13" s="23" t="s">
        <v>82</v>
      </c>
      <c r="O13" s="68" t="s">
        <v>81</v>
      </c>
      <c r="P13" s="23" t="s">
        <v>82</v>
      </c>
      <c r="Q13" s="68" t="s">
        <v>81</v>
      </c>
      <c r="R13" s="23" t="s">
        <v>82</v>
      </c>
      <c r="S13" s="68" t="s">
        <v>81</v>
      </c>
      <c r="T13" s="23" t="s">
        <v>82</v>
      </c>
      <c r="U13" s="69" t="s">
        <v>81</v>
      </c>
      <c r="V13" s="21" t="s">
        <v>82</v>
      </c>
      <c r="W13" s="21" t="s">
        <v>83</v>
      </c>
    </row>
    <row r="14" spans="1:96" s="17" customFormat="1" ht="14.25" customHeight="1">
      <c r="A14" s="601" t="s">
        <v>84</v>
      </c>
      <c r="B14" s="20" t="s">
        <v>85</v>
      </c>
      <c r="C14" s="70" t="s">
        <v>86</v>
      </c>
      <c r="D14" s="70" t="s">
        <v>87</v>
      </c>
      <c r="E14" s="70" t="s">
        <v>88</v>
      </c>
      <c r="F14" s="70" t="s">
        <v>89</v>
      </c>
      <c r="G14" s="70" t="s">
        <v>90</v>
      </c>
      <c r="H14" s="70" t="s">
        <v>91</v>
      </c>
      <c r="I14" s="70" t="s">
        <v>92</v>
      </c>
      <c r="J14" s="70" t="s">
        <v>93</v>
      </c>
      <c r="K14" s="70" t="s">
        <v>94</v>
      </c>
      <c r="L14" s="70" t="s">
        <v>95</v>
      </c>
      <c r="M14" s="70" t="s">
        <v>96</v>
      </c>
      <c r="N14" s="70" t="s">
        <v>97</v>
      </c>
      <c r="O14" s="70" t="s">
        <v>98</v>
      </c>
      <c r="P14" s="70" t="s">
        <v>99</v>
      </c>
      <c r="Q14" s="70" t="s">
        <v>100</v>
      </c>
      <c r="R14" s="70" t="s">
        <v>101</v>
      </c>
      <c r="S14" s="70" t="s">
        <v>102</v>
      </c>
      <c r="T14" s="70" t="s">
        <v>103</v>
      </c>
      <c r="U14" s="71" t="s">
        <v>104</v>
      </c>
      <c r="V14" s="71" t="s">
        <v>105</v>
      </c>
      <c r="W14" s="71" t="s">
        <v>106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987" t="s">
        <v>107</v>
      </c>
      <c r="B15" s="988"/>
      <c r="C15" s="988"/>
      <c r="D15" s="988"/>
      <c r="E15" s="988"/>
      <c r="F15" s="988"/>
      <c r="G15" s="988"/>
      <c r="H15" s="988"/>
      <c r="I15" s="988"/>
      <c r="J15" s="988"/>
      <c r="K15" s="988"/>
      <c r="L15" s="988"/>
      <c r="M15" s="988"/>
      <c r="N15" s="988"/>
      <c r="O15" s="988"/>
      <c r="P15" s="988"/>
      <c r="Q15" s="988"/>
      <c r="R15" s="988"/>
      <c r="S15" s="988"/>
      <c r="T15" s="988"/>
      <c r="U15" s="988"/>
      <c r="V15" s="988"/>
      <c r="W15" s="98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96" ht="17.45">
      <c r="A16" s="548" t="s">
        <v>108</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96" ht="13.15">
      <c r="A17" s="37" t="s">
        <v>109</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4.1" customHeight="1">
      <c r="A18" s="823" t="s">
        <v>110</v>
      </c>
      <c r="B18" s="34" t="s">
        <v>111</v>
      </c>
      <c r="C18" s="714"/>
      <c r="D18" s="714"/>
      <c r="E18" s="714"/>
      <c r="F18" s="714"/>
      <c r="G18" s="714"/>
      <c r="H18" s="714"/>
      <c r="I18" s="714"/>
      <c r="J18" s="714"/>
      <c r="K18" s="714"/>
      <c r="L18" s="714"/>
      <c r="M18" s="714"/>
      <c r="N18" s="714"/>
      <c r="O18" s="714"/>
      <c r="P18" s="714"/>
      <c r="Q18" s="714"/>
      <c r="R18" s="715"/>
      <c r="S18" s="714"/>
      <c r="T18" s="715"/>
      <c r="U18" s="47">
        <f>C18+E18+G18+I18+K18+M18+O18+Q18+S18</f>
        <v>0</v>
      </c>
      <c r="V18" s="47">
        <f>D18+F18+H18+J18+L18+N18+P18+R18+T18</f>
        <v>0</v>
      </c>
      <c r="W18" s="44">
        <f>+V18+U18</f>
        <v>0</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4.1" customHeight="1">
      <c r="A19" s="824" t="s">
        <v>112</v>
      </c>
      <c r="B19" s="820" t="s">
        <v>113</v>
      </c>
      <c r="C19" s="830"/>
      <c r="D19" s="830"/>
      <c r="E19" s="830"/>
      <c r="F19" s="830"/>
      <c r="G19" s="830"/>
      <c r="H19" s="830"/>
      <c r="I19" s="830"/>
      <c r="J19" s="830"/>
      <c r="K19" s="830"/>
      <c r="L19" s="830"/>
      <c r="M19" s="830"/>
      <c r="N19" s="830"/>
      <c r="O19" s="830"/>
      <c r="P19" s="830"/>
      <c r="Q19" s="830"/>
      <c r="R19" s="830"/>
      <c r="S19" s="830"/>
      <c r="T19" s="830"/>
      <c r="U19" s="47">
        <f>C19+E19+G19+I19+K19+M19+O19+Q19+S19</f>
        <v>0</v>
      </c>
      <c r="V19" s="47">
        <f>D19+F19+H19+J19+L19+N19+P19+R19+T19</f>
        <v>0</v>
      </c>
      <c r="W19" s="618">
        <f>+V19+U19</f>
        <v>0</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4.1" customHeight="1">
      <c r="A20" s="829" t="s">
        <v>114</v>
      </c>
      <c r="B20" s="822"/>
      <c r="C20" s="831"/>
      <c r="D20" s="831"/>
      <c r="E20" s="831"/>
      <c r="F20" s="831"/>
      <c r="G20" s="831"/>
      <c r="H20" s="831"/>
      <c r="I20" s="831"/>
      <c r="J20" s="831"/>
      <c r="K20" s="831"/>
      <c r="L20" s="831"/>
      <c r="M20" s="831"/>
      <c r="N20" s="831"/>
      <c r="O20" s="831"/>
      <c r="P20" s="831"/>
      <c r="Q20" s="831"/>
      <c r="R20" s="831"/>
      <c r="S20" s="831"/>
      <c r="T20" s="831"/>
      <c r="U20" s="821"/>
      <c r="V20" s="821"/>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4.1" customHeight="1">
      <c r="A21" s="825" t="s">
        <v>115</v>
      </c>
      <c r="B21" s="22" t="s">
        <v>116</v>
      </c>
      <c r="C21" s="715"/>
      <c r="D21" s="715"/>
      <c r="E21" s="715"/>
      <c r="F21" s="715"/>
      <c r="G21" s="715"/>
      <c r="H21" s="715"/>
      <c r="I21" s="715"/>
      <c r="J21" s="715"/>
      <c r="K21" s="715"/>
      <c r="L21" s="715"/>
      <c r="M21" s="715"/>
      <c r="N21" s="715"/>
      <c r="O21" s="715"/>
      <c r="P21" s="715"/>
      <c r="Q21" s="715"/>
      <c r="R21" s="715"/>
      <c r="S21" s="715"/>
      <c r="T21" s="715"/>
      <c r="U21" s="47">
        <f t="shared" ref="U21:V26" si="0">C21+E21+G21+I21+K21+M21+O21+Q21+S21</f>
        <v>0</v>
      </c>
      <c r="V21" s="47">
        <f t="shared" si="0"/>
        <v>0</v>
      </c>
      <c r="W21" s="49">
        <f t="shared" ref="W21:W26" si="1">+V21+U21</f>
        <v>0</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4.1" customHeight="1">
      <c r="A22" s="825" t="s">
        <v>117</v>
      </c>
      <c r="B22" s="22" t="s">
        <v>118</v>
      </c>
      <c r="C22" s="715"/>
      <c r="D22" s="715"/>
      <c r="E22" s="715"/>
      <c r="F22" s="715"/>
      <c r="G22" s="715"/>
      <c r="H22" s="715"/>
      <c r="I22" s="715"/>
      <c r="J22" s="715"/>
      <c r="K22" s="715"/>
      <c r="L22" s="715"/>
      <c r="M22" s="715"/>
      <c r="N22" s="715"/>
      <c r="O22" s="715"/>
      <c r="P22" s="715"/>
      <c r="Q22" s="715"/>
      <c r="R22" s="715"/>
      <c r="S22" s="715"/>
      <c r="T22" s="715"/>
      <c r="U22" s="47">
        <f t="shared" si="0"/>
        <v>0</v>
      </c>
      <c r="V22" s="47">
        <f t="shared" si="0"/>
        <v>0</v>
      </c>
      <c r="W22" s="44">
        <f t="shared" si="1"/>
        <v>0</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4.1" customHeight="1">
      <c r="A23" s="825" t="s">
        <v>119</v>
      </c>
      <c r="B23" s="22" t="s">
        <v>120</v>
      </c>
      <c r="C23" s="715"/>
      <c r="D23" s="715"/>
      <c r="E23" s="715"/>
      <c r="F23" s="715"/>
      <c r="G23" s="715"/>
      <c r="H23" s="715"/>
      <c r="I23" s="715"/>
      <c r="J23" s="715"/>
      <c r="K23" s="715"/>
      <c r="L23" s="715"/>
      <c r="M23" s="715"/>
      <c r="N23" s="715"/>
      <c r="O23" s="715"/>
      <c r="P23" s="715"/>
      <c r="Q23" s="715"/>
      <c r="R23" s="715"/>
      <c r="S23" s="715"/>
      <c r="T23" s="715"/>
      <c r="U23" s="47">
        <f t="shared" si="0"/>
        <v>0</v>
      </c>
      <c r="V23" s="47">
        <f t="shared" si="0"/>
        <v>0</v>
      </c>
      <c r="W23" s="44">
        <f t="shared" si="1"/>
        <v>0</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4.1" customHeight="1">
      <c r="A24" s="825" t="s">
        <v>121</v>
      </c>
      <c r="B24" s="22" t="s">
        <v>122</v>
      </c>
      <c r="C24" s="715"/>
      <c r="D24" s="715"/>
      <c r="E24" s="715"/>
      <c r="F24" s="715"/>
      <c r="G24" s="715"/>
      <c r="H24" s="715"/>
      <c r="I24" s="715"/>
      <c r="J24" s="715"/>
      <c r="K24" s="715"/>
      <c r="L24" s="715"/>
      <c r="M24" s="715"/>
      <c r="N24" s="715"/>
      <c r="O24" s="715"/>
      <c r="P24" s="715"/>
      <c r="Q24" s="715"/>
      <c r="R24" s="715"/>
      <c r="S24" s="715"/>
      <c r="T24" s="715"/>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7" t="s">
        <v>123</v>
      </c>
      <c r="B25" s="22" t="s">
        <v>124</v>
      </c>
      <c r="C25" s="715"/>
      <c r="D25" s="715"/>
      <c r="E25" s="715"/>
      <c r="F25" s="715"/>
      <c r="G25" s="715"/>
      <c r="H25" s="715"/>
      <c r="I25" s="715"/>
      <c r="J25" s="715"/>
      <c r="K25" s="715"/>
      <c r="L25" s="715"/>
      <c r="M25" s="715"/>
      <c r="N25" s="715"/>
      <c r="O25" s="715"/>
      <c r="P25" s="715"/>
      <c r="Q25" s="715"/>
      <c r="R25" s="715"/>
      <c r="S25" s="715"/>
      <c r="T25" s="715"/>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50" t="s">
        <v>125</v>
      </c>
      <c r="B26" s="551" t="s">
        <v>126</v>
      </c>
      <c r="C26" s="552">
        <f t="shared" ref="C26:P26" si="2">SUM(C18:C25)</f>
        <v>0</v>
      </c>
      <c r="D26" s="552">
        <f t="shared" si="2"/>
        <v>0</v>
      </c>
      <c r="E26" s="552">
        <f t="shared" si="2"/>
        <v>0</v>
      </c>
      <c r="F26" s="552">
        <f t="shared" si="2"/>
        <v>0</v>
      </c>
      <c r="G26" s="552">
        <f t="shared" si="2"/>
        <v>0</v>
      </c>
      <c r="H26" s="552">
        <f t="shared" si="2"/>
        <v>0</v>
      </c>
      <c r="I26" s="552">
        <f t="shared" si="2"/>
        <v>0</v>
      </c>
      <c r="J26" s="552">
        <f t="shared" si="2"/>
        <v>0</v>
      </c>
      <c r="K26" s="552">
        <f t="shared" si="2"/>
        <v>0</v>
      </c>
      <c r="L26" s="552">
        <f t="shared" si="2"/>
        <v>0</v>
      </c>
      <c r="M26" s="552">
        <f t="shared" si="2"/>
        <v>0</v>
      </c>
      <c r="N26" s="552">
        <f t="shared" si="2"/>
        <v>0</v>
      </c>
      <c r="O26" s="552">
        <f t="shared" si="2"/>
        <v>0</v>
      </c>
      <c r="P26" s="552">
        <f t="shared" si="2"/>
        <v>0</v>
      </c>
      <c r="Q26" s="552">
        <f>SUM(Q18:Q25)</f>
        <v>0</v>
      </c>
      <c r="R26" s="552">
        <f>SUM(R18:R25)</f>
        <v>0</v>
      </c>
      <c r="S26" s="552">
        <f>SUM(S18:S25)</f>
        <v>0</v>
      </c>
      <c r="T26" s="552">
        <f>SUM(T18:T25)</f>
        <v>0</v>
      </c>
      <c r="U26" s="552">
        <f t="shared" si="0"/>
        <v>0</v>
      </c>
      <c r="V26" s="552">
        <f t="shared" si="0"/>
        <v>0</v>
      </c>
      <c r="W26" s="553">
        <f t="shared" si="1"/>
        <v>0</v>
      </c>
      <c r="X26" s="608"/>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96" ht="18" hidden="1" customHeight="1" thickTop="1">
      <c r="A27" s="548" t="s">
        <v>127</v>
      </c>
      <c r="B27" s="239"/>
      <c r="C27" s="549"/>
      <c r="D27" s="549"/>
      <c r="E27" s="549"/>
      <c r="F27" s="549"/>
      <c r="G27" s="549"/>
      <c r="H27" s="549"/>
      <c r="I27" s="549"/>
      <c r="J27" s="549"/>
      <c r="K27" s="549"/>
      <c r="L27" s="549"/>
      <c r="M27" s="549"/>
      <c r="N27" s="549"/>
      <c r="O27" s="549"/>
      <c r="P27" s="549"/>
      <c r="Q27" s="549"/>
      <c r="R27" s="549"/>
      <c r="S27" s="549"/>
      <c r="T27" s="549"/>
      <c r="U27" s="371"/>
      <c r="V27" s="371"/>
      <c r="W27" s="485"/>
      <c r="X27" s="609"/>
    </row>
    <row r="28" spans="1:96" s="17" customFormat="1" ht="13.15" hidden="1">
      <c r="A28" s="38" t="s">
        <v>128</v>
      </c>
      <c r="B28" s="34" t="s">
        <v>129</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9" hidden="1" thickBot="1">
      <c r="A29" s="604" t="s">
        <v>130</v>
      </c>
      <c r="B29" s="605" t="s">
        <v>131</v>
      </c>
      <c r="C29" s="606"/>
      <c r="D29" s="607"/>
      <c r="E29" s="606"/>
      <c r="F29" s="607"/>
      <c r="G29" s="606"/>
      <c r="H29" s="607"/>
      <c r="I29" s="606"/>
      <c r="J29" s="607"/>
      <c r="K29" s="606"/>
      <c r="L29" s="607"/>
      <c r="M29" s="606"/>
      <c r="N29" s="607"/>
      <c r="O29" s="606"/>
      <c r="P29" s="607"/>
      <c r="Q29" s="607"/>
      <c r="R29" s="607"/>
      <c r="S29" s="607"/>
      <c r="T29" s="607"/>
      <c r="U29" s="299">
        <f>C29+E29+G29+I29+K29+M29+O29</f>
        <v>0</v>
      </c>
      <c r="V29" s="299">
        <f>D29+F29+H29+J29+L29+N29+P29</f>
        <v>0</v>
      </c>
      <c r="W29" s="297">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96" ht="18" thickTop="1">
      <c r="A30" s="548" t="s">
        <v>132</v>
      </c>
      <c r="B30" s="239"/>
      <c r="C30" s="549"/>
      <c r="D30" s="549"/>
      <c r="E30" s="549"/>
      <c r="F30" s="549"/>
      <c r="G30" s="549"/>
      <c r="H30" s="549"/>
      <c r="I30" s="549"/>
      <c r="J30" s="549"/>
      <c r="K30" s="549"/>
      <c r="L30" s="549"/>
      <c r="M30" s="549"/>
      <c r="N30" s="549"/>
      <c r="O30" s="549"/>
      <c r="P30" s="549"/>
      <c r="Q30" s="549"/>
      <c r="R30" s="549"/>
      <c r="S30" s="549"/>
      <c r="T30" s="549"/>
      <c r="U30" s="371"/>
      <c r="V30" s="371"/>
      <c r="W30" s="485"/>
    </row>
    <row r="31" spans="1:96" ht="13.15">
      <c r="A31" s="37" t="s">
        <v>133</v>
      </c>
      <c r="B31" s="242" t="s">
        <v>61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3.15">
      <c r="A32" s="538" t="s">
        <v>134</v>
      </c>
      <c r="B32" s="22" t="s">
        <v>135</v>
      </c>
      <c r="C32" s="40"/>
      <c r="D32" s="41"/>
      <c r="E32" s="40"/>
      <c r="F32" s="41"/>
      <c r="G32" s="40"/>
      <c r="H32" s="41"/>
      <c r="I32" s="40"/>
      <c r="J32" s="41"/>
      <c r="K32" s="40"/>
      <c r="L32" s="41"/>
      <c r="M32" s="40"/>
      <c r="N32" s="41"/>
      <c r="O32" s="40"/>
      <c r="P32" s="41"/>
      <c r="Q32" s="40"/>
      <c r="R32" s="46"/>
      <c r="S32" s="40"/>
      <c r="T32" s="46"/>
      <c r="U32" s="47">
        <f t="shared" ref="U32:V35" si="3">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3.15">
      <c r="A33" s="538" t="s">
        <v>136</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45">
      <c r="A34" s="547" t="s">
        <v>137</v>
      </c>
      <c r="B34" s="22" t="s">
        <v>138</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6" t="s">
        <v>139</v>
      </c>
      <c r="B35" s="24" t="s">
        <v>140</v>
      </c>
      <c r="C35" s="47">
        <f>SUM(C32:C34)</f>
        <v>0</v>
      </c>
      <c r="D35" s="47">
        <f t="shared" ref="D35:P35" si="4">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spans="1:96" ht="25.5" customHeight="1"/>
    <row r="37" spans="1:96" ht="15.6">
      <c r="A37" s="483" t="str">
        <f>+A42&amp;" PART A (Continued)"</f>
        <v>511201 PART A (Continued)</v>
      </c>
      <c r="B37" s="26" t="str">
        <f>A1</f>
        <v>FALL ENROLLMENT 2021</v>
      </c>
      <c r="C37" s="27"/>
      <c r="D37" s="27"/>
      <c r="E37" s="27"/>
      <c r="F37" s="27"/>
      <c r="G37" s="27"/>
      <c r="H37" s="27"/>
      <c r="I37" s="27"/>
      <c r="J37" s="27"/>
      <c r="K37" s="27"/>
      <c r="L37" s="27"/>
      <c r="M37" s="27"/>
      <c r="N37" s="27"/>
      <c r="O37" s="27"/>
      <c r="P37" s="27"/>
      <c r="Q37" s="27"/>
      <c r="R37" s="27"/>
      <c r="S37" s="27"/>
      <c r="T37" s="27"/>
      <c r="U37" s="13" t="s">
        <v>61</v>
      </c>
    </row>
    <row r="38" spans="1:96" ht="15.6">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3.15">
      <c r="A39" s="28" t="s">
        <v>61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96">
      <c r="A40" s="1004" t="str">
        <f>+A10</f>
        <v>MEDICINE (i.e., M.D. degree)</v>
      </c>
      <c r="B40" s="36"/>
      <c r="C40" s="991" t="s">
        <v>54</v>
      </c>
      <c r="D40" s="992"/>
      <c r="E40" s="991" t="s">
        <v>55</v>
      </c>
      <c r="F40" s="992"/>
      <c r="G40" s="991" t="s">
        <v>56</v>
      </c>
      <c r="H40" s="992"/>
      <c r="I40" s="991"/>
      <c r="J40" s="992"/>
      <c r="K40" s="991" t="s">
        <v>57</v>
      </c>
      <c r="L40" s="992"/>
      <c r="M40" s="991"/>
      <c r="N40" s="992"/>
      <c r="O40" s="991" t="s">
        <v>58</v>
      </c>
      <c r="P40" s="992"/>
      <c r="Q40" s="991" t="s">
        <v>59</v>
      </c>
      <c r="R40" s="992"/>
      <c r="S40" s="991" t="s">
        <v>60</v>
      </c>
      <c r="T40" s="992"/>
      <c r="U40" s="59" t="s">
        <v>61</v>
      </c>
      <c r="V40" s="60"/>
      <c r="W40" s="61"/>
    </row>
    <row r="41" spans="1:96" ht="12.75" customHeight="1">
      <c r="A41" s="1005"/>
      <c r="B41" s="20"/>
      <c r="C41" s="993" t="s">
        <v>62</v>
      </c>
      <c r="D41" s="994"/>
      <c r="E41" s="993" t="s">
        <v>63</v>
      </c>
      <c r="F41" s="994"/>
      <c r="G41" s="993" t="s">
        <v>64</v>
      </c>
      <c r="H41" s="994"/>
      <c r="I41" s="993" t="s">
        <v>65</v>
      </c>
      <c r="J41" s="994"/>
      <c r="K41" s="993" t="s">
        <v>66</v>
      </c>
      <c r="L41" s="994"/>
      <c r="M41" s="993" t="s">
        <v>67</v>
      </c>
      <c r="N41" s="994"/>
      <c r="O41" s="993" t="s">
        <v>68</v>
      </c>
      <c r="P41" s="994"/>
      <c r="Q41" s="993" t="s">
        <v>69</v>
      </c>
      <c r="R41" s="994"/>
      <c r="S41" s="993" t="s">
        <v>70</v>
      </c>
      <c r="T41" s="994"/>
      <c r="U41" s="62" t="s">
        <v>71</v>
      </c>
      <c r="V41" s="63"/>
      <c r="W41" s="64"/>
    </row>
    <row r="42" spans="1:96" s="17" customFormat="1">
      <c r="A42" s="986">
        <f>+A12</f>
        <v>511201</v>
      </c>
      <c r="B42" s="20"/>
      <c r="C42" s="995" t="s">
        <v>73</v>
      </c>
      <c r="D42" s="996"/>
      <c r="E42" s="995" t="s">
        <v>56</v>
      </c>
      <c r="F42" s="996"/>
      <c r="G42" s="995" t="s">
        <v>74</v>
      </c>
      <c r="H42" s="996"/>
      <c r="I42" s="995"/>
      <c r="J42" s="996"/>
      <c r="K42" s="995" t="s">
        <v>75</v>
      </c>
      <c r="L42" s="996"/>
      <c r="M42" s="995"/>
      <c r="N42" s="996"/>
      <c r="O42" s="995" t="s">
        <v>76</v>
      </c>
      <c r="P42" s="996"/>
      <c r="Q42" s="995" t="s">
        <v>77</v>
      </c>
      <c r="R42" s="996"/>
      <c r="S42" s="995" t="s">
        <v>78</v>
      </c>
      <c r="T42" s="996"/>
      <c r="U42" s="65" t="s">
        <v>79</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96" ht="15" customHeight="1">
      <c r="A43" s="1153"/>
      <c r="B43" s="20" t="s">
        <v>80</v>
      </c>
      <c r="C43" s="68" t="s">
        <v>81</v>
      </c>
      <c r="D43" s="23" t="s">
        <v>82</v>
      </c>
      <c r="E43" s="68" t="s">
        <v>81</v>
      </c>
      <c r="F43" s="23" t="s">
        <v>82</v>
      </c>
      <c r="G43" s="68" t="s">
        <v>81</v>
      </c>
      <c r="H43" s="23" t="s">
        <v>82</v>
      </c>
      <c r="I43" s="68" t="s">
        <v>81</v>
      </c>
      <c r="J43" s="23" t="s">
        <v>82</v>
      </c>
      <c r="K43" s="68" t="s">
        <v>81</v>
      </c>
      <c r="L43" s="23" t="s">
        <v>82</v>
      </c>
      <c r="M43" s="68" t="s">
        <v>81</v>
      </c>
      <c r="N43" s="23" t="s">
        <v>82</v>
      </c>
      <c r="O43" s="68" t="s">
        <v>81</v>
      </c>
      <c r="P43" s="23" t="s">
        <v>82</v>
      </c>
      <c r="Q43" s="68" t="s">
        <v>81</v>
      </c>
      <c r="R43" s="23" t="s">
        <v>82</v>
      </c>
      <c r="S43" s="68" t="s">
        <v>81</v>
      </c>
      <c r="T43" s="23" t="s">
        <v>82</v>
      </c>
      <c r="U43" s="69" t="s">
        <v>81</v>
      </c>
      <c r="V43" s="21" t="s">
        <v>82</v>
      </c>
      <c r="W43" s="21" t="s">
        <v>83</v>
      </c>
    </row>
    <row r="44" spans="1:96" s="17" customFormat="1" ht="13.15">
      <c r="A44" s="602" t="s">
        <v>84</v>
      </c>
      <c r="B44" s="19" t="s">
        <v>85</v>
      </c>
      <c r="C44" s="70" t="s">
        <v>86</v>
      </c>
      <c r="D44" s="70" t="s">
        <v>87</v>
      </c>
      <c r="E44" s="70" t="s">
        <v>88</v>
      </c>
      <c r="F44" s="70" t="s">
        <v>89</v>
      </c>
      <c r="G44" s="70" t="s">
        <v>90</v>
      </c>
      <c r="H44" s="70" t="s">
        <v>91</v>
      </c>
      <c r="I44" s="70" t="s">
        <v>92</v>
      </c>
      <c r="J44" s="70" t="s">
        <v>93</v>
      </c>
      <c r="K44" s="70" t="s">
        <v>94</v>
      </c>
      <c r="L44" s="70" t="s">
        <v>95</v>
      </c>
      <c r="M44" s="70" t="s">
        <v>96</v>
      </c>
      <c r="N44" s="70" t="s">
        <v>97</v>
      </c>
      <c r="O44" s="70" t="s">
        <v>98</v>
      </c>
      <c r="P44" s="70" t="s">
        <v>99</v>
      </c>
      <c r="Q44" s="70" t="s">
        <v>100</v>
      </c>
      <c r="R44" s="70" t="s">
        <v>101</v>
      </c>
      <c r="S44" s="70" t="s">
        <v>102</v>
      </c>
      <c r="T44" s="70" t="s">
        <v>103</v>
      </c>
      <c r="U44" s="71" t="s">
        <v>104</v>
      </c>
      <c r="V44" s="71" t="s">
        <v>105</v>
      </c>
      <c r="W44" s="71" t="s">
        <v>106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9">
      <c r="A45" s="987" t="s">
        <v>141</v>
      </c>
      <c r="B45" s="988"/>
      <c r="C45" s="988"/>
      <c r="D45" s="988"/>
      <c r="E45" s="988"/>
      <c r="F45" s="988"/>
      <c r="G45" s="988"/>
      <c r="H45" s="988"/>
      <c r="I45" s="988"/>
      <c r="J45" s="988"/>
      <c r="K45" s="988"/>
      <c r="L45" s="988"/>
      <c r="M45" s="988"/>
      <c r="N45" s="988"/>
      <c r="O45" s="988"/>
      <c r="P45" s="988"/>
      <c r="Q45" s="988"/>
      <c r="R45" s="988"/>
      <c r="S45" s="988"/>
      <c r="T45" s="988"/>
      <c r="U45" s="988"/>
      <c r="V45" s="988"/>
      <c r="W45" s="98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96" ht="17.45">
      <c r="A46" s="548" t="s">
        <v>108</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96" ht="13.15">
      <c r="A47" s="37" t="s">
        <v>109</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3.15">
      <c r="A48" s="823" t="s">
        <v>110</v>
      </c>
      <c r="B48" s="34">
        <v>15</v>
      </c>
      <c r="C48" s="714"/>
      <c r="D48" s="714"/>
      <c r="E48" s="714"/>
      <c r="F48" s="714"/>
      <c r="G48" s="714"/>
      <c r="H48" s="714"/>
      <c r="I48" s="714"/>
      <c r="J48" s="714"/>
      <c r="K48" s="714"/>
      <c r="L48" s="714"/>
      <c r="M48" s="714"/>
      <c r="N48" s="714"/>
      <c r="O48" s="714"/>
      <c r="P48" s="714"/>
      <c r="Q48" s="714"/>
      <c r="R48" s="715"/>
      <c r="S48" s="714"/>
      <c r="T48" s="715"/>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3.15">
      <c r="A49" s="824" t="s">
        <v>112</v>
      </c>
      <c r="B49" s="22" t="s">
        <v>142</v>
      </c>
      <c r="C49" s="830"/>
      <c r="D49" s="830"/>
      <c r="E49" s="830"/>
      <c r="F49" s="830"/>
      <c r="G49" s="830"/>
      <c r="H49" s="830"/>
      <c r="I49" s="830"/>
      <c r="J49" s="830"/>
      <c r="K49" s="830"/>
      <c r="L49" s="830"/>
      <c r="M49" s="830"/>
      <c r="N49" s="830"/>
      <c r="O49" s="830"/>
      <c r="P49" s="830"/>
      <c r="Q49" s="830"/>
      <c r="R49" s="830"/>
      <c r="S49" s="830"/>
      <c r="T49" s="830"/>
      <c r="U49" s="47">
        <f>C49+E49+G49+I49+K49+M49+O49+Q49+S49</f>
        <v>0</v>
      </c>
      <c r="V49" s="47">
        <f>D49+F49+H49+J49+L49+N49+P49+R49+T49</f>
        <v>0</v>
      </c>
      <c r="W49" s="44">
        <f>+V49+U49</f>
        <v>0</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9">
      <c r="A50" s="829" t="s">
        <v>143</v>
      </c>
      <c r="B50" s="822"/>
      <c r="C50" s="831"/>
      <c r="D50" s="831"/>
      <c r="E50" s="831"/>
      <c r="F50" s="831"/>
      <c r="G50" s="831"/>
      <c r="H50" s="831"/>
      <c r="I50" s="831"/>
      <c r="J50" s="831"/>
      <c r="K50" s="831"/>
      <c r="L50" s="831"/>
      <c r="M50" s="831"/>
      <c r="N50" s="831"/>
      <c r="O50" s="831"/>
      <c r="P50" s="831"/>
      <c r="Q50" s="831"/>
      <c r="R50" s="831"/>
      <c r="S50" s="831"/>
      <c r="T50" s="831"/>
      <c r="U50" s="821"/>
      <c r="V50" s="821"/>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3.15">
      <c r="A51" s="825" t="s">
        <v>115</v>
      </c>
      <c r="B51" s="22" t="s">
        <v>144</v>
      </c>
      <c r="C51" s="715"/>
      <c r="D51" s="715"/>
      <c r="E51" s="715"/>
      <c r="F51" s="715"/>
      <c r="G51" s="715"/>
      <c r="H51" s="715"/>
      <c r="I51" s="715"/>
      <c r="J51" s="715"/>
      <c r="K51" s="715"/>
      <c r="L51" s="715"/>
      <c r="M51" s="715"/>
      <c r="N51" s="715"/>
      <c r="O51" s="715"/>
      <c r="P51" s="715"/>
      <c r="Q51" s="715"/>
      <c r="R51" s="715"/>
      <c r="S51" s="715"/>
      <c r="T51" s="715"/>
      <c r="U51" s="47">
        <f t="shared" ref="U51:V56" si="5">C51+E51+G51+I51+K51+M51+O51+Q51+S51</f>
        <v>0</v>
      </c>
      <c r="V51" s="47">
        <f t="shared" si="5"/>
        <v>0</v>
      </c>
      <c r="W51" s="44">
        <f t="shared" ref="W51:W56" si="6">+V51+U51</f>
        <v>0</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3.15">
      <c r="A52" s="825" t="s">
        <v>117</v>
      </c>
      <c r="B52" s="22" t="s">
        <v>145</v>
      </c>
      <c r="C52" s="715"/>
      <c r="D52" s="715"/>
      <c r="E52" s="715"/>
      <c r="F52" s="715"/>
      <c r="G52" s="715"/>
      <c r="H52" s="715"/>
      <c r="I52" s="715"/>
      <c r="J52" s="715"/>
      <c r="K52" s="715"/>
      <c r="L52" s="715"/>
      <c r="M52" s="715"/>
      <c r="N52" s="715"/>
      <c r="O52" s="715"/>
      <c r="P52" s="715"/>
      <c r="Q52" s="715"/>
      <c r="R52" s="715"/>
      <c r="S52" s="715"/>
      <c r="T52" s="715"/>
      <c r="U52" s="47">
        <f t="shared" si="5"/>
        <v>0</v>
      </c>
      <c r="V52" s="47">
        <f t="shared" si="5"/>
        <v>0</v>
      </c>
      <c r="W52" s="44">
        <f t="shared" si="6"/>
        <v>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3.15">
      <c r="A53" s="825" t="s">
        <v>119</v>
      </c>
      <c r="B53" s="22" t="s">
        <v>146</v>
      </c>
      <c r="C53" s="715"/>
      <c r="D53" s="715"/>
      <c r="E53" s="715"/>
      <c r="F53" s="715"/>
      <c r="G53" s="715"/>
      <c r="H53" s="715"/>
      <c r="I53" s="715"/>
      <c r="J53" s="715"/>
      <c r="K53" s="715"/>
      <c r="L53" s="715"/>
      <c r="M53" s="715"/>
      <c r="N53" s="715"/>
      <c r="O53" s="715"/>
      <c r="P53" s="715"/>
      <c r="Q53" s="715"/>
      <c r="R53" s="715"/>
      <c r="S53" s="715"/>
      <c r="T53" s="715"/>
      <c r="U53" s="47">
        <f t="shared" si="5"/>
        <v>0</v>
      </c>
      <c r="V53" s="47">
        <f t="shared" si="5"/>
        <v>0</v>
      </c>
      <c r="W53" s="44">
        <f t="shared" si="6"/>
        <v>0</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3.15">
      <c r="A54" s="825" t="s">
        <v>121</v>
      </c>
      <c r="B54" s="22" t="s">
        <v>147</v>
      </c>
      <c r="C54" s="715"/>
      <c r="D54" s="715"/>
      <c r="E54" s="715"/>
      <c r="F54" s="715"/>
      <c r="G54" s="715"/>
      <c r="H54" s="715"/>
      <c r="I54" s="715"/>
      <c r="J54" s="715"/>
      <c r="K54" s="715"/>
      <c r="L54" s="715"/>
      <c r="M54" s="715"/>
      <c r="N54" s="715"/>
      <c r="O54" s="715"/>
      <c r="P54" s="715"/>
      <c r="Q54" s="715"/>
      <c r="R54" s="715"/>
      <c r="S54" s="715"/>
      <c r="T54" s="715"/>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45">
      <c r="A55" s="547" t="s">
        <v>123</v>
      </c>
      <c r="B55" s="22" t="s">
        <v>148</v>
      </c>
      <c r="C55" s="715"/>
      <c r="D55" s="715"/>
      <c r="E55" s="715"/>
      <c r="F55" s="715"/>
      <c r="G55" s="715"/>
      <c r="H55" s="715"/>
      <c r="I55" s="715"/>
      <c r="J55" s="715"/>
      <c r="K55" s="715"/>
      <c r="L55" s="715"/>
      <c r="M55" s="715"/>
      <c r="N55" s="715"/>
      <c r="O55" s="715"/>
      <c r="P55" s="715"/>
      <c r="Q55" s="715"/>
      <c r="R55" s="715"/>
      <c r="S55" s="715"/>
      <c r="T55" s="715"/>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50" t="s">
        <v>149</v>
      </c>
      <c r="B56" s="551" t="s">
        <v>150</v>
      </c>
      <c r="C56" s="560">
        <f t="shared" ref="C56:P56" si="7">SUM(C48:C55)</f>
        <v>0</v>
      </c>
      <c r="D56" s="560">
        <f t="shared" si="7"/>
        <v>0</v>
      </c>
      <c r="E56" s="560">
        <f t="shared" si="7"/>
        <v>0</v>
      </c>
      <c r="F56" s="560">
        <f t="shared" si="7"/>
        <v>0</v>
      </c>
      <c r="G56" s="560">
        <f t="shared" si="7"/>
        <v>0</v>
      </c>
      <c r="H56" s="560">
        <f t="shared" si="7"/>
        <v>0</v>
      </c>
      <c r="I56" s="560">
        <f t="shared" si="7"/>
        <v>0</v>
      </c>
      <c r="J56" s="560">
        <f t="shared" si="7"/>
        <v>0</v>
      </c>
      <c r="K56" s="560">
        <f t="shared" si="7"/>
        <v>0</v>
      </c>
      <c r="L56" s="560">
        <f t="shared" si="7"/>
        <v>0</v>
      </c>
      <c r="M56" s="560">
        <f t="shared" si="7"/>
        <v>0</v>
      </c>
      <c r="N56" s="560">
        <f t="shared" si="7"/>
        <v>0</v>
      </c>
      <c r="O56" s="560">
        <f t="shared" si="7"/>
        <v>0</v>
      </c>
      <c r="P56" s="560">
        <f t="shared" si="7"/>
        <v>0</v>
      </c>
      <c r="Q56" s="560">
        <f>SUM(Q48:Q55)</f>
        <v>0</v>
      </c>
      <c r="R56" s="560">
        <f>SUM(R48:R55)</f>
        <v>0</v>
      </c>
      <c r="S56" s="560">
        <f>SUM(S48:S55)</f>
        <v>0</v>
      </c>
      <c r="T56" s="560">
        <f>SUM(T48:T55)</f>
        <v>0</v>
      </c>
      <c r="U56" s="552">
        <f t="shared" si="5"/>
        <v>0</v>
      </c>
      <c r="V56" s="552">
        <f t="shared" si="5"/>
        <v>0</v>
      </c>
      <c r="W56" s="553">
        <f t="shared" si="6"/>
        <v>0</v>
      </c>
      <c r="X56" s="608"/>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96" ht="21.75" hidden="1" customHeight="1" thickTop="1">
      <c r="A57" s="548" t="s">
        <v>127</v>
      </c>
      <c r="B57" s="239"/>
      <c r="C57" s="549"/>
      <c r="D57" s="549"/>
      <c r="E57" s="549"/>
      <c r="F57" s="549"/>
      <c r="G57" s="549"/>
      <c r="H57" s="549"/>
      <c r="I57" s="549"/>
      <c r="J57" s="549"/>
      <c r="K57" s="549"/>
      <c r="L57" s="549"/>
      <c r="M57" s="549"/>
      <c r="N57" s="549"/>
      <c r="O57" s="549"/>
      <c r="P57" s="549"/>
      <c r="Q57" s="549"/>
      <c r="R57" s="549"/>
      <c r="S57" s="549"/>
      <c r="T57" s="549"/>
      <c r="U57" s="371"/>
      <c r="V57" s="371"/>
      <c r="W57" s="484"/>
      <c r="X57" s="609"/>
    </row>
    <row r="58" spans="1:96" s="17" customFormat="1" ht="13.15" hidden="1">
      <c r="A58" s="38" t="s">
        <v>128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9" hidden="1" thickBot="1">
      <c r="A59" s="604" t="s">
        <v>130</v>
      </c>
      <c r="B59" s="605">
        <v>24</v>
      </c>
      <c r="C59" s="610"/>
      <c r="D59" s="611"/>
      <c r="E59" s="610"/>
      <c r="F59" s="611"/>
      <c r="G59" s="610"/>
      <c r="H59" s="611"/>
      <c r="I59" s="610"/>
      <c r="J59" s="611"/>
      <c r="K59" s="610"/>
      <c r="L59" s="611"/>
      <c r="M59" s="610"/>
      <c r="N59" s="611"/>
      <c r="O59" s="610"/>
      <c r="P59" s="611"/>
      <c r="Q59" s="611"/>
      <c r="R59" s="611"/>
      <c r="S59" s="611"/>
      <c r="T59" s="611"/>
      <c r="U59" s="297">
        <f>C59+E59+G59+I59+K59+M59+O59</f>
        <v>0</v>
      </c>
      <c r="V59" s="297">
        <f>D59+F59+H59+J59+L59+N59+P59</f>
        <v>0</v>
      </c>
      <c r="W59" s="297">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96" ht="18" thickTop="1">
      <c r="A60" s="548" t="s">
        <v>132</v>
      </c>
      <c r="B60" s="239"/>
      <c r="C60" s="549"/>
      <c r="D60" s="549"/>
      <c r="E60" s="549"/>
      <c r="F60" s="549"/>
      <c r="G60" s="549"/>
      <c r="H60" s="549"/>
      <c r="I60" s="549"/>
      <c r="J60" s="549"/>
      <c r="K60" s="549"/>
      <c r="L60" s="549"/>
      <c r="M60" s="549"/>
      <c r="N60" s="549"/>
      <c r="O60" s="549"/>
      <c r="P60" s="549"/>
      <c r="Q60" s="549"/>
      <c r="R60" s="549"/>
      <c r="S60" s="549"/>
      <c r="T60" s="549"/>
      <c r="U60" s="371"/>
      <c r="V60" s="371"/>
      <c r="W60" s="485"/>
    </row>
    <row r="61" spans="1:96" ht="13.15">
      <c r="A61" s="37" t="s">
        <v>133</v>
      </c>
      <c r="B61" s="242" t="s">
        <v>61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3.15">
      <c r="A62" s="538" t="s">
        <v>134</v>
      </c>
      <c r="B62" s="22" t="s">
        <v>151</v>
      </c>
      <c r="C62" s="40"/>
      <c r="D62" s="41"/>
      <c r="E62" s="40"/>
      <c r="F62" s="41"/>
      <c r="G62" s="40"/>
      <c r="H62" s="41"/>
      <c r="I62" s="40"/>
      <c r="J62" s="41"/>
      <c r="K62" s="40"/>
      <c r="L62" s="41"/>
      <c r="M62" s="40"/>
      <c r="N62" s="41"/>
      <c r="O62" s="40"/>
      <c r="P62" s="41"/>
      <c r="Q62" s="40"/>
      <c r="R62" s="46"/>
      <c r="S62" s="40"/>
      <c r="T62" s="46"/>
      <c r="U62" s="47">
        <f t="shared" ref="U62:V65" si="8">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3.15">
      <c r="A63" s="538" t="s">
        <v>136</v>
      </c>
      <c r="B63" s="34" t="s">
        <v>152</v>
      </c>
      <c r="C63" s="40"/>
      <c r="D63" s="41"/>
      <c r="E63" s="40"/>
      <c r="F63" s="41"/>
      <c r="G63" s="40"/>
      <c r="H63" s="41"/>
      <c r="I63" s="40"/>
      <c r="J63" s="41"/>
      <c r="K63" s="40"/>
      <c r="L63" s="41"/>
      <c r="M63" s="40"/>
      <c r="N63" s="41"/>
      <c r="O63" s="40"/>
      <c r="P63" s="41"/>
      <c r="Q63" s="40"/>
      <c r="R63" s="46"/>
      <c r="S63" s="40"/>
      <c r="T63" s="46"/>
      <c r="U63" s="47">
        <f t="shared" si="8"/>
        <v>0</v>
      </c>
      <c r="V63" s="47">
        <f t="shared" si="8"/>
        <v>0</v>
      </c>
      <c r="W63" s="44">
        <f>+V63+U63</f>
        <v>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45">
      <c r="A64" s="547" t="s">
        <v>137</v>
      </c>
      <c r="B64" s="22" t="s">
        <v>153</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7" t="s">
        <v>178</v>
      </c>
      <c r="B65" s="35" t="s">
        <v>155</v>
      </c>
      <c r="C65" s="47">
        <f t="shared" ref="C65:P65" si="9">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0</v>
      </c>
      <c r="M65" s="47">
        <f t="shared" si="9"/>
        <v>0</v>
      </c>
      <c r="N65" s="47">
        <f t="shared" si="9"/>
        <v>0</v>
      </c>
      <c r="O65" s="47">
        <f t="shared" si="9"/>
        <v>0</v>
      </c>
      <c r="P65" s="47">
        <f t="shared" si="9"/>
        <v>0</v>
      </c>
      <c r="Q65" s="47">
        <f>SUM(Q62:Q64)</f>
        <v>0</v>
      </c>
      <c r="R65" s="47">
        <f>SUM(R62:R64)</f>
        <v>0</v>
      </c>
      <c r="S65" s="47">
        <f>SUM(S62:S64)</f>
        <v>0</v>
      </c>
      <c r="T65" s="47">
        <f>SUM(T62:T64)</f>
        <v>0</v>
      </c>
      <c r="U65" s="552">
        <f t="shared" si="8"/>
        <v>0</v>
      </c>
      <c r="V65" s="552">
        <f t="shared" si="8"/>
        <v>0</v>
      </c>
      <c r="W65" s="51">
        <f>U65+V65</f>
        <v>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96" s="29" customFormat="1" ht="32.25" customHeight="1" thickTop="1">
      <c r="A66" s="554" t="s">
        <v>156</v>
      </c>
      <c r="B66" s="555" t="s">
        <v>157</v>
      </c>
      <c r="C66" s="556">
        <f t="shared" ref="C66:V66" si="10">C65+C56+C35+C26</f>
        <v>0</v>
      </c>
      <c r="D66" s="556">
        <f t="shared" si="10"/>
        <v>0</v>
      </c>
      <c r="E66" s="556">
        <f t="shared" si="10"/>
        <v>0</v>
      </c>
      <c r="F66" s="556">
        <f t="shared" si="10"/>
        <v>0</v>
      </c>
      <c r="G66" s="556">
        <f t="shared" si="10"/>
        <v>0</v>
      </c>
      <c r="H66" s="556">
        <f t="shared" si="10"/>
        <v>0</v>
      </c>
      <c r="I66" s="556">
        <f t="shared" si="10"/>
        <v>0</v>
      </c>
      <c r="J66" s="556">
        <f t="shared" si="10"/>
        <v>0</v>
      </c>
      <c r="K66" s="556">
        <f t="shared" si="10"/>
        <v>0</v>
      </c>
      <c r="L66" s="556">
        <f t="shared" si="10"/>
        <v>0</v>
      </c>
      <c r="M66" s="556">
        <f t="shared" si="10"/>
        <v>0</v>
      </c>
      <c r="N66" s="556">
        <f t="shared" si="10"/>
        <v>0</v>
      </c>
      <c r="O66" s="556">
        <f t="shared" si="10"/>
        <v>0</v>
      </c>
      <c r="P66" s="556">
        <f t="shared" si="10"/>
        <v>0</v>
      </c>
      <c r="Q66" s="556">
        <f>Q65+Q56+Q35+Q26</f>
        <v>0</v>
      </c>
      <c r="R66" s="556">
        <f>R65+R56+R35+R26</f>
        <v>0</v>
      </c>
      <c r="S66" s="556">
        <f>S65+S56+S35+S26</f>
        <v>0</v>
      </c>
      <c r="T66" s="556">
        <f>T65+T56+T35+T26</f>
        <v>0</v>
      </c>
      <c r="U66" s="556">
        <f t="shared" si="10"/>
        <v>0</v>
      </c>
      <c r="V66" s="556">
        <f t="shared" si="10"/>
        <v>0</v>
      </c>
      <c r="W66" s="557">
        <f>U66+V66</f>
        <v>0</v>
      </c>
      <c r="X66" s="39"/>
    </row>
    <row r="67" spans="1:96" ht="24.75" customHeight="1"/>
    <row r="68" spans="1:96" ht="15.6">
      <c r="A68"/>
      <c r="B68"/>
      <c r="C68"/>
      <c r="D68"/>
      <c r="E68"/>
      <c r="F68"/>
      <c r="G68"/>
      <c r="H68"/>
      <c r="I68"/>
      <c r="J68"/>
      <c r="K68"/>
      <c r="L68"/>
      <c r="M68"/>
      <c r="N68"/>
      <c r="O68"/>
      <c r="P68"/>
      <c r="Q68"/>
      <c r="R68"/>
      <c r="S68"/>
      <c r="T68"/>
      <c r="U68"/>
      <c r="V68"/>
      <c r="W68"/>
    </row>
    <row r="69" spans="1:96" ht="15.6">
      <c r="A69"/>
      <c r="B69"/>
      <c r="C69"/>
      <c r="D69"/>
      <c r="E69"/>
      <c r="F69"/>
      <c r="G69"/>
      <c r="H69"/>
      <c r="I69"/>
      <c r="J69"/>
      <c r="K69"/>
      <c r="L69"/>
      <c r="M69"/>
      <c r="N69"/>
      <c r="O69"/>
      <c r="P69"/>
      <c r="Q69"/>
      <c r="R69"/>
      <c r="S69"/>
      <c r="T69"/>
      <c r="U69"/>
      <c r="V69"/>
      <c r="W69"/>
    </row>
    <row r="70" spans="1:96" ht="15.6">
      <c r="A70"/>
      <c r="B70"/>
      <c r="C70"/>
      <c r="D70"/>
      <c r="E70"/>
      <c r="F70"/>
      <c r="G70"/>
      <c r="H70"/>
      <c r="I70"/>
      <c r="J70"/>
      <c r="K70"/>
      <c r="L70"/>
      <c r="M70"/>
      <c r="N70"/>
      <c r="O70"/>
      <c r="P70"/>
      <c r="Q70"/>
      <c r="R70"/>
      <c r="S70"/>
      <c r="T70"/>
      <c r="U70"/>
      <c r="V70"/>
      <c r="W70"/>
    </row>
    <row r="71" spans="1:96" ht="15.6">
      <c r="A71"/>
      <c r="B71"/>
      <c r="C71"/>
      <c r="D71"/>
      <c r="E71"/>
      <c r="F71"/>
      <c r="G71"/>
      <c r="H71"/>
      <c r="I71"/>
      <c r="J71"/>
      <c r="K71"/>
      <c r="L71"/>
      <c r="M71"/>
      <c r="N71"/>
      <c r="O71"/>
      <c r="P71"/>
      <c r="Q71"/>
      <c r="R71"/>
      <c r="S71"/>
      <c r="T71"/>
      <c r="U71"/>
      <c r="V71"/>
      <c r="W71"/>
    </row>
    <row r="72" spans="1:96" ht="15.6">
      <c r="A72"/>
      <c r="B72"/>
      <c r="C72"/>
      <c r="D72"/>
      <c r="E72"/>
      <c r="F72"/>
      <c r="G72"/>
      <c r="H72"/>
      <c r="I72"/>
      <c r="J72"/>
      <c r="K72"/>
      <c r="L72"/>
      <c r="M72"/>
      <c r="N72"/>
      <c r="O72"/>
      <c r="P72"/>
      <c r="Q72"/>
      <c r="R72"/>
      <c r="S72"/>
      <c r="T72"/>
      <c r="U72"/>
      <c r="V72"/>
      <c r="W72"/>
    </row>
    <row r="73" spans="1:96" ht="15.6">
      <c r="A73"/>
      <c r="B73"/>
      <c r="C73"/>
      <c r="D73"/>
      <c r="E73"/>
      <c r="F73"/>
      <c r="G73"/>
      <c r="H73"/>
      <c r="I73"/>
      <c r="J73"/>
      <c r="K73"/>
      <c r="L73"/>
      <c r="M73"/>
      <c r="N73"/>
      <c r="O73"/>
      <c r="P73"/>
      <c r="Q73"/>
      <c r="R73"/>
      <c r="S73"/>
      <c r="T73"/>
      <c r="U73"/>
      <c r="V73"/>
      <c r="W73"/>
    </row>
    <row r="74" spans="1:96" ht="15.6">
      <c r="A74"/>
      <c r="B74"/>
      <c r="C74"/>
      <c r="D74"/>
      <c r="E74"/>
      <c r="F74"/>
      <c r="G74"/>
      <c r="H74"/>
      <c r="I74"/>
      <c r="J74"/>
      <c r="K74"/>
      <c r="L74"/>
      <c r="M74"/>
      <c r="N74"/>
      <c r="O74"/>
      <c r="P74"/>
      <c r="Q74"/>
      <c r="R74"/>
      <c r="S74"/>
      <c r="T74"/>
      <c r="U74"/>
      <c r="V74"/>
      <c r="W74"/>
    </row>
    <row r="75" spans="1:96" ht="15.6">
      <c r="A75"/>
      <c r="B75"/>
      <c r="C75"/>
      <c r="D75"/>
      <c r="E75"/>
      <c r="F75"/>
      <c r="G75"/>
      <c r="H75"/>
      <c r="I75"/>
      <c r="J75"/>
      <c r="K75"/>
      <c r="L75"/>
      <c r="M75"/>
      <c r="N75"/>
      <c r="O75"/>
      <c r="P75"/>
      <c r="Q75"/>
      <c r="R75"/>
      <c r="S75"/>
      <c r="T75"/>
      <c r="U75"/>
      <c r="V75"/>
      <c r="W75"/>
    </row>
    <row r="76" spans="1:96" ht="15.6">
      <c r="A76"/>
      <c r="B76"/>
      <c r="C76"/>
      <c r="D76"/>
      <c r="E76"/>
      <c r="F76"/>
      <c r="G76"/>
      <c r="H76"/>
      <c r="I76"/>
      <c r="J76"/>
      <c r="K76"/>
      <c r="L76"/>
      <c r="M76"/>
      <c r="N76"/>
      <c r="O76"/>
      <c r="P76"/>
      <c r="Q76"/>
      <c r="R76"/>
      <c r="S76"/>
      <c r="T76"/>
      <c r="U76"/>
      <c r="V76"/>
      <c r="W76"/>
    </row>
    <row r="77" spans="1:96" ht="15.6">
      <c r="A77"/>
      <c r="B77"/>
      <c r="C77"/>
      <c r="D77"/>
      <c r="E77"/>
      <c r="F77"/>
      <c r="G77"/>
      <c r="H77"/>
      <c r="I77"/>
      <c r="J77"/>
      <c r="K77"/>
      <c r="L77"/>
      <c r="M77"/>
      <c r="N77"/>
      <c r="O77"/>
      <c r="P77"/>
      <c r="Q77"/>
      <c r="R77"/>
      <c r="S77"/>
      <c r="T77"/>
      <c r="U77"/>
      <c r="V77"/>
      <c r="W77"/>
    </row>
    <row r="78" spans="1:96" ht="15.6">
      <c r="A78"/>
      <c r="B78"/>
      <c r="C78"/>
      <c r="D78"/>
      <c r="E78"/>
      <c r="F78"/>
      <c r="G78"/>
      <c r="H78"/>
      <c r="I78"/>
      <c r="J78"/>
      <c r="K78"/>
      <c r="L78"/>
      <c r="M78"/>
      <c r="N78"/>
      <c r="O78"/>
      <c r="P78"/>
      <c r="Q78"/>
      <c r="R78"/>
      <c r="S78"/>
      <c r="T78"/>
      <c r="U78"/>
      <c r="V78"/>
      <c r="W78"/>
    </row>
    <row r="79" spans="1:96" ht="15.6">
      <c r="A79"/>
      <c r="B79"/>
      <c r="C79"/>
      <c r="D79"/>
      <c r="E79"/>
      <c r="F79"/>
      <c r="G79"/>
      <c r="H79"/>
      <c r="I79"/>
      <c r="J79"/>
      <c r="K79"/>
      <c r="L79"/>
      <c r="M79"/>
      <c r="N79"/>
      <c r="O79"/>
      <c r="P79"/>
      <c r="Q79"/>
      <c r="R79"/>
      <c r="S79"/>
      <c r="T79"/>
      <c r="U79"/>
      <c r="V79"/>
      <c r="W79"/>
    </row>
    <row r="80" spans="1:96" ht="15.6">
      <c r="A80"/>
      <c r="B80"/>
      <c r="C80"/>
      <c r="D80"/>
      <c r="E80"/>
      <c r="F80"/>
      <c r="G80"/>
      <c r="H80"/>
      <c r="I80"/>
      <c r="J80"/>
      <c r="K80"/>
      <c r="L80"/>
      <c r="M80"/>
      <c r="N80"/>
      <c r="O80"/>
      <c r="P80"/>
      <c r="Q80"/>
      <c r="R80"/>
      <c r="S80"/>
      <c r="T80"/>
      <c r="U80"/>
      <c r="V80"/>
      <c r="W80"/>
    </row>
    <row r="81" spans="1:23" ht="15.6">
      <c r="A81"/>
      <c r="B81"/>
      <c r="C81"/>
      <c r="D81"/>
      <c r="E81"/>
      <c r="F81"/>
      <c r="G81"/>
      <c r="H81"/>
      <c r="I81"/>
      <c r="J81"/>
      <c r="K81"/>
      <c r="L81"/>
      <c r="M81"/>
      <c r="N81"/>
      <c r="O81"/>
      <c r="P81"/>
      <c r="Q81"/>
      <c r="R81"/>
      <c r="S81"/>
      <c r="T81"/>
      <c r="U81"/>
      <c r="V81"/>
      <c r="W81"/>
    </row>
    <row r="82" spans="1:23" ht="15.6">
      <c r="A82"/>
      <c r="B82"/>
      <c r="C82"/>
      <c r="D82"/>
      <c r="E82"/>
      <c r="F82"/>
      <c r="G82"/>
      <c r="H82"/>
      <c r="I82"/>
      <c r="J82"/>
      <c r="K82"/>
      <c r="L82"/>
      <c r="M82"/>
      <c r="N82"/>
      <c r="O82"/>
      <c r="P82"/>
      <c r="Q82"/>
      <c r="R82"/>
      <c r="S82"/>
      <c r="T82"/>
      <c r="U82"/>
      <c r="V82"/>
      <c r="W82"/>
    </row>
    <row r="83" spans="1:23" ht="15.6">
      <c r="A83"/>
      <c r="B83"/>
      <c r="C83"/>
      <c r="D83"/>
      <c r="E83"/>
      <c r="F83"/>
      <c r="G83"/>
      <c r="H83"/>
      <c r="I83"/>
      <c r="J83"/>
      <c r="K83"/>
      <c r="L83"/>
      <c r="M83"/>
      <c r="N83"/>
      <c r="O83"/>
      <c r="P83"/>
      <c r="Q83"/>
      <c r="R83"/>
      <c r="S83"/>
      <c r="T83"/>
      <c r="U83"/>
      <c r="V83"/>
      <c r="W83"/>
    </row>
    <row r="84" spans="1:23" ht="15.6">
      <c r="A84"/>
      <c r="B84"/>
      <c r="C84"/>
      <c r="D84"/>
      <c r="E84"/>
      <c r="F84"/>
      <c r="G84"/>
      <c r="H84"/>
      <c r="I84"/>
      <c r="J84"/>
      <c r="K84"/>
      <c r="L84"/>
      <c r="M84"/>
      <c r="N84"/>
      <c r="O84"/>
      <c r="P84"/>
      <c r="Q84"/>
      <c r="R84"/>
      <c r="S84"/>
      <c r="T84"/>
      <c r="U84"/>
      <c r="V84"/>
      <c r="W84"/>
    </row>
    <row r="85" spans="1:23" ht="15.6">
      <c r="A85"/>
      <c r="B85"/>
      <c r="C85"/>
      <c r="D85"/>
      <c r="E85"/>
      <c r="F85"/>
      <c r="G85"/>
      <c r="H85"/>
      <c r="I85"/>
      <c r="J85"/>
      <c r="K85"/>
      <c r="L85"/>
      <c r="M85"/>
      <c r="N85"/>
      <c r="O85"/>
      <c r="P85"/>
      <c r="Q85"/>
      <c r="R85"/>
      <c r="S85"/>
      <c r="T85"/>
      <c r="U85"/>
      <c r="V85"/>
      <c r="W85"/>
    </row>
    <row r="86" spans="1:23" ht="15.6">
      <c r="A86"/>
      <c r="B86"/>
      <c r="C86"/>
      <c r="D86"/>
      <c r="E86"/>
      <c r="F86"/>
      <c r="G86"/>
      <c r="H86"/>
      <c r="I86"/>
      <c r="J86"/>
      <c r="K86"/>
      <c r="L86"/>
      <c r="M86"/>
      <c r="N86"/>
      <c r="O86"/>
      <c r="P86"/>
      <c r="Q86"/>
      <c r="R86"/>
      <c r="S86"/>
      <c r="T86"/>
      <c r="U86"/>
      <c r="V86"/>
      <c r="W86"/>
    </row>
    <row r="87" spans="1:23" ht="15.6">
      <c r="A87"/>
      <c r="B87"/>
      <c r="C87"/>
      <c r="D87"/>
      <c r="E87"/>
      <c r="F87"/>
      <c r="G87"/>
      <c r="H87"/>
      <c r="I87"/>
      <c r="J87"/>
      <c r="K87"/>
      <c r="L87"/>
      <c r="M87"/>
      <c r="N87"/>
      <c r="O87"/>
      <c r="P87"/>
      <c r="Q87"/>
      <c r="R87"/>
      <c r="S87"/>
      <c r="T87"/>
      <c r="U87"/>
      <c r="V87"/>
      <c r="W87"/>
    </row>
    <row r="88" spans="1:23" ht="15.6">
      <c r="A88"/>
      <c r="B88"/>
      <c r="C88"/>
      <c r="D88"/>
      <c r="E88"/>
      <c r="F88"/>
      <c r="G88"/>
      <c r="H88"/>
      <c r="I88"/>
      <c r="J88"/>
      <c r="K88"/>
      <c r="L88"/>
      <c r="M88"/>
      <c r="N88"/>
      <c r="O88"/>
      <c r="P88"/>
      <c r="Q88"/>
      <c r="R88"/>
      <c r="S88"/>
      <c r="T88"/>
      <c r="U88"/>
      <c r="V88"/>
      <c r="W88"/>
    </row>
    <row r="89" spans="1:23" ht="15.6">
      <c r="A89"/>
      <c r="B89"/>
      <c r="C89"/>
      <c r="D89"/>
      <c r="E89"/>
      <c r="F89"/>
      <c r="G89"/>
      <c r="H89"/>
      <c r="I89"/>
      <c r="J89"/>
      <c r="K89"/>
      <c r="L89"/>
      <c r="M89"/>
      <c r="N89"/>
      <c r="O89"/>
      <c r="P89"/>
      <c r="Q89"/>
      <c r="R89"/>
      <c r="S89"/>
      <c r="T89"/>
      <c r="U89"/>
      <c r="V89"/>
      <c r="W89"/>
    </row>
    <row r="90" spans="1:23" ht="15.6">
      <c r="A90"/>
      <c r="B90"/>
      <c r="C90"/>
      <c r="D90"/>
      <c r="E90"/>
      <c r="F90"/>
      <c r="G90"/>
      <c r="H90"/>
      <c r="I90"/>
      <c r="J90"/>
      <c r="K90"/>
      <c r="L90"/>
      <c r="M90"/>
      <c r="N90"/>
      <c r="O90"/>
      <c r="P90"/>
      <c r="Q90"/>
      <c r="R90"/>
      <c r="S90"/>
      <c r="T90"/>
      <c r="U90"/>
      <c r="V90"/>
      <c r="W90"/>
    </row>
    <row r="91" spans="1:23" ht="15.6">
      <c r="A91"/>
      <c r="B91"/>
      <c r="C91"/>
      <c r="D91"/>
      <c r="E91"/>
      <c r="F91"/>
      <c r="G91"/>
      <c r="H91"/>
      <c r="I91"/>
      <c r="J91"/>
      <c r="K91"/>
      <c r="L91"/>
      <c r="M91"/>
      <c r="N91"/>
      <c r="O91"/>
      <c r="P91"/>
      <c r="Q91"/>
      <c r="R91"/>
      <c r="S91"/>
      <c r="T91"/>
      <c r="U91"/>
      <c r="V91"/>
      <c r="W91"/>
    </row>
    <row r="92" spans="1:23" ht="15.6">
      <c r="A92"/>
      <c r="B92"/>
      <c r="C92"/>
      <c r="D92"/>
      <c r="E92"/>
      <c r="F92"/>
      <c r="G92"/>
      <c r="H92"/>
      <c r="I92"/>
      <c r="J92"/>
      <c r="K92"/>
      <c r="L92"/>
      <c r="M92"/>
      <c r="N92"/>
      <c r="O92"/>
      <c r="P92"/>
      <c r="Q92"/>
      <c r="R92"/>
      <c r="S92"/>
      <c r="T92"/>
      <c r="U92"/>
      <c r="V92"/>
      <c r="W92"/>
    </row>
    <row r="93" spans="1:23" ht="15.6">
      <c r="A93"/>
      <c r="B93"/>
      <c r="C93"/>
      <c r="D93"/>
      <c r="E93"/>
      <c r="F93"/>
      <c r="G93"/>
      <c r="H93"/>
      <c r="I93"/>
      <c r="J93"/>
      <c r="K93"/>
      <c r="L93"/>
      <c r="M93"/>
      <c r="N93"/>
      <c r="O93"/>
      <c r="P93"/>
      <c r="Q93"/>
      <c r="R93"/>
      <c r="S93"/>
      <c r="T93"/>
      <c r="U93"/>
      <c r="V93"/>
      <c r="W93"/>
    </row>
    <row r="94" spans="1:23" ht="15.6">
      <c r="A94"/>
      <c r="B94"/>
      <c r="C94"/>
      <c r="D94"/>
      <c r="E94"/>
      <c r="F94"/>
      <c r="G94"/>
      <c r="H94"/>
      <c r="I94"/>
      <c r="J94"/>
      <c r="K94"/>
      <c r="L94"/>
      <c r="M94"/>
      <c r="N94"/>
      <c r="O94"/>
      <c r="P94"/>
      <c r="Q94"/>
      <c r="R94"/>
      <c r="S94"/>
      <c r="T94"/>
      <c r="U94"/>
      <c r="V94"/>
      <c r="W94"/>
    </row>
  </sheetData>
  <mergeCells count="61">
    <mergeCell ref="C42:D42"/>
    <mergeCell ref="E42:F42"/>
    <mergeCell ref="G42:H42"/>
    <mergeCell ref="I42:J42"/>
    <mergeCell ref="S42:T42"/>
    <mergeCell ref="K42:L42"/>
    <mergeCell ref="M42:N42"/>
    <mergeCell ref="O42:P42"/>
    <mergeCell ref="Q42:R42"/>
    <mergeCell ref="M40:N40"/>
    <mergeCell ref="O40:P40"/>
    <mergeCell ref="Q40:R40"/>
    <mergeCell ref="S40:T40"/>
    <mergeCell ref="C41:D41"/>
    <mergeCell ref="E41:F41"/>
    <mergeCell ref="G41:H41"/>
    <mergeCell ref="I41:J41"/>
    <mergeCell ref="K41:L41"/>
    <mergeCell ref="M41:N41"/>
    <mergeCell ref="O41:P41"/>
    <mergeCell ref="Q41:R41"/>
    <mergeCell ref="S41:T41"/>
    <mergeCell ref="C40:D40"/>
    <mergeCell ref="E40:F40"/>
    <mergeCell ref="G40:H40"/>
    <mergeCell ref="I40:J40"/>
    <mergeCell ref="K40:L40"/>
    <mergeCell ref="M11:N11"/>
    <mergeCell ref="O11:P11"/>
    <mergeCell ref="Q11:R11"/>
    <mergeCell ref="S11:T11"/>
    <mergeCell ref="C12:D12"/>
    <mergeCell ref="E12:F12"/>
    <mergeCell ref="G12:H12"/>
    <mergeCell ref="I12:J12"/>
    <mergeCell ref="K12:L12"/>
    <mergeCell ref="M12:N12"/>
    <mergeCell ref="O12:P12"/>
    <mergeCell ref="Q12:R12"/>
    <mergeCell ref="S12:T12"/>
    <mergeCell ref="C11:D11"/>
    <mergeCell ref="E11:F11"/>
    <mergeCell ref="G11:H11"/>
    <mergeCell ref="I11:J11"/>
    <mergeCell ref="K11:L1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s>
  <phoneticPr fontId="54" type="noConversion"/>
  <pageMargins left="0.47" right="0.35" top="0.48" bottom="0.38" header="0" footer="0.25"/>
  <pageSetup scale="94" fitToHeight="2" orientation="landscape" horizontalDpi="4294967292" verticalDpi="300" r:id="rId1"/>
  <headerFooter alignWithMargins="0">
    <oddFooter>Page &amp;P of &amp;N</oddFooter>
  </headerFooter>
  <rowBreaks count="1" manualBreakCount="1">
    <brk id="35"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dimension ref="A1:CR94"/>
  <sheetViews>
    <sheetView showGridLines="0" showZeros="0" defaultGridColor="0" colorId="8" zoomScaleNormal="100" zoomScaleSheetLayoutView="50" workbookViewId="0">
      <selection activeCell="O62" sqref="O62"/>
    </sheetView>
  </sheetViews>
  <sheetFormatPr defaultColWidth="0" defaultRowHeight="10.15"/>
  <cols>
    <col min="1" max="1" width="33.625" style="12" customWidth="1"/>
    <col min="2" max="2" width="3" style="11" customWidth="1"/>
    <col min="3" max="3" width="4.125" style="12" customWidth="1"/>
    <col min="4" max="4" width="4.5" style="12" customWidth="1"/>
    <col min="5" max="5" width="4.125" style="12" customWidth="1"/>
    <col min="6" max="6" width="4.5" style="12" customWidth="1"/>
    <col min="7" max="7" width="4.125" style="12" customWidth="1"/>
    <col min="8" max="8" width="4.5" style="12" customWidth="1"/>
    <col min="9" max="9" width="4.125" style="12" customWidth="1"/>
    <col min="10" max="10" width="4.5" style="12" customWidth="1"/>
    <col min="11" max="11" width="4.125" style="12" customWidth="1"/>
    <col min="12" max="12" width="4.5" style="12" customWidth="1"/>
    <col min="13" max="14" width="5.125" style="12" customWidth="1"/>
    <col min="15" max="15" width="4.125" style="12" customWidth="1"/>
    <col min="16" max="20" width="4.5" style="12" customWidth="1"/>
    <col min="21" max="21" width="4.75" style="13" customWidth="1"/>
    <col min="22" max="22" width="5.25" style="13" customWidth="1"/>
    <col min="23" max="23" width="5.625" style="13" customWidth="1"/>
    <col min="24" max="24" width="2.875" style="12" customWidth="1"/>
    <col min="25" max="53" width="6.625" style="12" hidden="1" customWidth="1"/>
    <col min="54" max="16384" width="0" style="12" hidden="1"/>
  </cols>
  <sheetData>
    <row r="1" spans="1:96" s="3" customFormat="1" ht="27.6">
      <c r="A1" s="814" t="str">
        <f>Cover!A3</f>
        <v>FALL ENROLLMENT 2021</v>
      </c>
      <c r="B1" s="33"/>
      <c r="C1" s="33"/>
      <c r="D1" s="33"/>
      <c r="E1" s="33"/>
      <c r="F1" s="33"/>
      <c r="G1" s="33"/>
      <c r="H1" s="33"/>
      <c r="I1" s="33"/>
      <c r="J1" s="33"/>
      <c r="K1" s="33"/>
      <c r="L1" s="33"/>
      <c r="M1" s="33"/>
      <c r="N1" s="33"/>
      <c r="O1" s="33"/>
      <c r="P1" s="33"/>
      <c r="Q1" s="33"/>
      <c r="R1" s="33"/>
      <c r="S1" s="33"/>
      <c r="T1" s="33"/>
      <c r="U1" s="33"/>
      <c r="V1" s="33"/>
      <c r="W1" s="33"/>
      <c r="X1" s="790">
        <f>IF(COUNT(C18:P25,C28:P29,C32:P34,C48:P55,C58:P59,C62:P64)&gt;0,1,0)</f>
        <v>1</v>
      </c>
    </row>
    <row r="2" spans="1:96" s="4" customFormat="1">
      <c r="A2" s="249" t="str">
        <f>Cover!A62</f>
        <v>2122</v>
      </c>
      <c r="B2" s="56"/>
      <c r="C2" s="56"/>
      <c r="D2" s="56"/>
      <c r="E2" s="56"/>
      <c r="F2" s="56"/>
      <c r="G2" s="56"/>
      <c r="H2" s="56"/>
      <c r="I2" s="56"/>
      <c r="J2" s="56"/>
    </row>
    <row r="3" spans="1:96" s="3" customFormat="1" ht="13.9" thickBot="1">
      <c r="A3" s="802" t="str">
        <f>Cover!$A$8</f>
        <v>Western Connecticut State University</v>
      </c>
      <c r="B3" s="57"/>
      <c r="C3" s="58"/>
      <c r="D3" s="57"/>
      <c r="E3" s="57"/>
      <c r="F3" s="57"/>
      <c r="G3" s="57"/>
      <c r="H3" s="57"/>
      <c r="I3" s="57"/>
      <c r="J3" s="57"/>
      <c r="K3" s="5" t="s">
        <v>48</v>
      </c>
      <c r="M3" s="2"/>
      <c r="N3" s="6" t="str">
        <f>+Cover!$A$10</f>
        <v>Jerry Wilcox</v>
      </c>
      <c r="O3" s="7"/>
      <c r="P3" s="8"/>
      <c r="Q3" s="8"/>
      <c r="R3" s="8"/>
      <c r="S3" s="8"/>
      <c r="T3" s="8"/>
      <c r="U3" s="7"/>
      <c r="X3" s="789"/>
    </row>
    <row r="4" spans="1:96" s="3" customFormat="1" ht="13.9" thickBot="1">
      <c r="A4" s="31">
        <f>Cover!$B$8</f>
        <v>130776</v>
      </c>
      <c r="B4" s="57"/>
      <c r="C4" s="58"/>
      <c r="D4" s="57"/>
      <c r="E4" s="56"/>
      <c r="F4" s="57"/>
      <c r="G4" s="56"/>
      <c r="H4" s="57"/>
      <c r="I4" s="56"/>
      <c r="J4" s="57"/>
      <c r="K4" s="5" t="s">
        <v>49</v>
      </c>
      <c r="M4" s="9"/>
      <c r="N4" s="6" t="str">
        <f>+Cover!$B$10</f>
        <v>Director, Institutional Research and Assessment</v>
      </c>
      <c r="O4" s="7"/>
      <c r="P4" s="8"/>
      <c r="Q4" s="8"/>
      <c r="R4" s="8"/>
      <c r="S4" s="8"/>
      <c r="T4" s="8"/>
      <c r="U4" s="7"/>
    </row>
    <row r="5" spans="1:96" s="3" customFormat="1" ht="16.149999999999999" thickBot="1">
      <c r="A5" s="32" t="str">
        <f>Cover!$C$8</f>
        <v>Danbury</v>
      </c>
      <c r="B5" s="57"/>
      <c r="C5" s="58"/>
      <c r="D5" s="57"/>
      <c r="E5" s="56"/>
      <c r="F5" s="57"/>
      <c r="G5" s="56"/>
      <c r="H5" s="57"/>
      <c r="I5" s="56"/>
      <c r="J5" s="57"/>
      <c r="K5" s="5" t="s">
        <v>50</v>
      </c>
      <c r="M5" s="9"/>
      <c r="N5" s="990" t="str">
        <f>+Cover!$C$10</f>
        <v>203-837-8242</v>
      </c>
      <c r="O5" s="1152"/>
      <c r="P5" s="1152"/>
      <c r="Q5" s="939"/>
      <c r="R5" s="939"/>
      <c r="S5" s="939"/>
      <c r="T5" s="939"/>
      <c r="U5" s="7"/>
    </row>
    <row r="6" spans="1:96" ht="10.5" customHeight="1">
      <c r="A6" s="10"/>
      <c r="B6" s="56"/>
      <c r="C6" s="56"/>
      <c r="D6" s="56"/>
      <c r="E6" s="56"/>
      <c r="F6" s="56"/>
      <c r="G6" s="56"/>
      <c r="H6" s="56"/>
      <c r="I6" s="56"/>
      <c r="J6" s="56"/>
      <c r="L6" s="9"/>
      <c r="N6" s="9"/>
      <c r="P6" s="9"/>
      <c r="Q6" s="9"/>
      <c r="R6" s="9"/>
      <c r="S6" s="9"/>
      <c r="T6" s="9"/>
      <c r="V6" s="14"/>
      <c r="W6" s="14"/>
    </row>
    <row r="7" spans="1:96" ht="20.45">
      <c r="A7" s="537" t="s">
        <v>51</v>
      </c>
    </row>
    <row r="8" spans="1:96">
      <c r="A8" s="10" t="s">
        <v>52</v>
      </c>
    </row>
    <row r="9" spans="1: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96" ht="48" customHeight="1">
      <c r="A10" s="1011" t="s">
        <v>179</v>
      </c>
      <c r="B10" s="36"/>
      <c r="C10" s="991" t="s">
        <v>54</v>
      </c>
      <c r="D10" s="992"/>
      <c r="E10" s="991" t="s">
        <v>55</v>
      </c>
      <c r="F10" s="992"/>
      <c r="G10" s="991" t="s">
        <v>56</v>
      </c>
      <c r="H10" s="992"/>
      <c r="I10" s="991"/>
      <c r="J10" s="992"/>
      <c r="K10" s="991" t="s">
        <v>57</v>
      </c>
      <c r="L10" s="992"/>
      <c r="M10" s="991"/>
      <c r="N10" s="992"/>
      <c r="O10" s="991" t="s">
        <v>58</v>
      </c>
      <c r="P10" s="992"/>
      <c r="Q10" s="991" t="s">
        <v>59</v>
      </c>
      <c r="R10" s="992"/>
      <c r="S10" s="991" t="s">
        <v>60</v>
      </c>
      <c r="T10" s="992"/>
      <c r="U10" s="59" t="s">
        <v>61</v>
      </c>
      <c r="V10" s="60"/>
      <c r="W10" s="61"/>
    </row>
    <row r="11" spans="1:96" ht="16.5" customHeight="1">
      <c r="A11" s="1012"/>
      <c r="B11" s="20"/>
      <c r="C11" s="993" t="s">
        <v>62</v>
      </c>
      <c r="D11" s="994"/>
      <c r="E11" s="993" t="s">
        <v>63</v>
      </c>
      <c r="F11" s="994"/>
      <c r="G11" s="993" t="s">
        <v>64</v>
      </c>
      <c r="H11" s="994"/>
      <c r="I11" s="993" t="s">
        <v>65</v>
      </c>
      <c r="J11" s="994"/>
      <c r="K11" s="993" t="s">
        <v>66</v>
      </c>
      <c r="L11" s="994"/>
      <c r="M11" s="993" t="s">
        <v>67</v>
      </c>
      <c r="N11" s="994"/>
      <c r="O11" s="993" t="s">
        <v>68</v>
      </c>
      <c r="P11" s="994"/>
      <c r="Q11" s="993" t="s">
        <v>69</v>
      </c>
      <c r="R11" s="994"/>
      <c r="S11" s="993" t="s">
        <v>70</v>
      </c>
      <c r="T11" s="994"/>
      <c r="U11" s="62" t="s">
        <v>71</v>
      </c>
      <c r="V11" s="63"/>
      <c r="W11" s="64"/>
    </row>
    <row r="12" spans="1:96" s="17" customFormat="1" ht="12" customHeight="1">
      <c r="A12" s="986" t="s">
        <v>180</v>
      </c>
      <c r="B12" s="20"/>
      <c r="C12" s="995" t="s">
        <v>73</v>
      </c>
      <c r="D12" s="996"/>
      <c r="E12" s="995" t="s">
        <v>56</v>
      </c>
      <c r="F12" s="996"/>
      <c r="G12" s="995" t="s">
        <v>74</v>
      </c>
      <c r="H12" s="996"/>
      <c r="I12" s="995"/>
      <c r="J12" s="996"/>
      <c r="K12" s="995" t="s">
        <v>75</v>
      </c>
      <c r="L12" s="996"/>
      <c r="M12" s="995"/>
      <c r="N12" s="996"/>
      <c r="O12" s="995" t="s">
        <v>76</v>
      </c>
      <c r="P12" s="996"/>
      <c r="Q12" s="995" t="s">
        <v>77</v>
      </c>
      <c r="R12" s="996"/>
      <c r="S12" s="995" t="s">
        <v>78</v>
      </c>
      <c r="T12" s="996"/>
      <c r="U12" s="65" t="s">
        <v>79</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7.25" customHeight="1">
      <c r="A13" s="1153"/>
      <c r="B13" s="20" t="s">
        <v>80</v>
      </c>
      <c r="C13" s="68" t="s">
        <v>81</v>
      </c>
      <c r="D13" s="23" t="s">
        <v>82</v>
      </c>
      <c r="E13" s="68" t="s">
        <v>81</v>
      </c>
      <c r="F13" s="23" t="s">
        <v>82</v>
      </c>
      <c r="G13" s="68" t="s">
        <v>81</v>
      </c>
      <c r="H13" s="23" t="s">
        <v>82</v>
      </c>
      <c r="I13" s="68" t="s">
        <v>81</v>
      </c>
      <c r="J13" s="23" t="s">
        <v>82</v>
      </c>
      <c r="K13" s="68" t="s">
        <v>81</v>
      </c>
      <c r="L13" s="23" t="s">
        <v>82</v>
      </c>
      <c r="M13" s="68" t="s">
        <v>81</v>
      </c>
      <c r="N13" s="23" t="s">
        <v>82</v>
      </c>
      <c r="O13" s="68" t="s">
        <v>81</v>
      </c>
      <c r="P13" s="23" t="s">
        <v>82</v>
      </c>
      <c r="Q13" s="68" t="s">
        <v>81</v>
      </c>
      <c r="R13" s="23" t="s">
        <v>82</v>
      </c>
      <c r="S13" s="68" t="s">
        <v>81</v>
      </c>
      <c r="T13" s="23" t="s">
        <v>82</v>
      </c>
      <c r="U13" s="69" t="s">
        <v>81</v>
      </c>
      <c r="V13" s="21" t="s">
        <v>82</v>
      </c>
      <c r="W13" s="21" t="s">
        <v>83</v>
      </c>
    </row>
    <row r="14" spans="1:96" s="17" customFormat="1" ht="14.25" customHeight="1">
      <c r="A14" s="601" t="s">
        <v>84</v>
      </c>
      <c r="B14" s="20" t="s">
        <v>85</v>
      </c>
      <c r="C14" s="70" t="s">
        <v>86</v>
      </c>
      <c r="D14" s="70" t="s">
        <v>87</v>
      </c>
      <c r="E14" s="70" t="s">
        <v>88</v>
      </c>
      <c r="F14" s="70" t="s">
        <v>89</v>
      </c>
      <c r="G14" s="70" t="s">
        <v>90</v>
      </c>
      <c r="H14" s="70" t="s">
        <v>91</v>
      </c>
      <c r="I14" s="70" t="s">
        <v>92</v>
      </c>
      <c r="J14" s="70" t="s">
        <v>93</v>
      </c>
      <c r="K14" s="70" t="s">
        <v>94</v>
      </c>
      <c r="L14" s="70" t="s">
        <v>95</v>
      </c>
      <c r="M14" s="70" t="s">
        <v>96</v>
      </c>
      <c r="N14" s="70" t="s">
        <v>97</v>
      </c>
      <c r="O14" s="70" t="s">
        <v>98</v>
      </c>
      <c r="P14" s="70" t="s">
        <v>99</v>
      </c>
      <c r="Q14" s="70" t="s">
        <v>100</v>
      </c>
      <c r="R14" s="70" t="s">
        <v>101</v>
      </c>
      <c r="S14" s="70" t="s">
        <v>102</v>
      </c>
      <c r="T14" s="70" t="s">
        <v>103</v>
      </c>
      <c r="U14" s="71" t="s">
        <v>104</v>
      </c>
      <c r="V14" s="71" t="s">
        <v>105</v>
      </c>
      <c r="W14" s="71" t="s">
        <v>106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987" t="s">
        <v>107</v>
      </c>
      <c r="B15" s="988"/>
      <c r="C15" s="988"/>
      <c r="D15" s="988"/>
      <c r="E15" s="988"/>
      <c r="F15" s="988"/>
      <c r="G15" s="988"/>
      <c r="H15" s="988"/>
      <c r="I15" s="988"/>
      <c r="J15" s="988"/>
      <c r="K15" s="988"/>
      <c r="L15" s="988"/>
      <c r="M15" s="988"/>
      <c r="N15" s="988"/>
      <c r="O15" s="988"/>
      <c r="P15" s="988"/>
      <c r="Q15" s="988"/>
      <c r="R15" s="988"/>
      <c r="S15" s="988"/>
      <c r="T15" s="988"/>
      <c r="U15" s="988"/>
      <c r="V15" s="988"/>
      <c r="W15" s="98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96" ht="17.45">
      <c r="A16" s="548" t="s">
        <v>108</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96" ht="13.15">
      <c r="A17" s="37" t="s">
        <v>109</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4.1" customHeight="1">
      <c r="A18" s="823" t="s">
        <v>110</v>
      </c>
      <c r="B18" s="34" t="s">
        <v>111</v>
      </c>
      <c r="C18" s="40"/>
      <c r="D18" s="41"/>
      <c r="E18" s="40">
        <v>14</v>
      </c>
      <c r="F18" s="41">
        <v>3</v>
      </c>
      <c r="G18" s="40">
        <v>1</v>
      </c>
      <c r="H18" s="41"/>
      <c r="I18" s="40">
        <v>3</v>
      </c>
      <c r="J18" s="41">
        <v>4</v>
      </c>
      <c r="K18" s="40">
        <v>22</v>
      </c>
      <c r="L18" s="41">
        <v>12</v>
      </c>
      <c r="M18" s="40">
        <v>55</v>
      </c>
      <c r="N18" s="41">
        <v>17</v>
      </c>
      <c r="O18" s="40"/>
      <c r="P18" s="41"/>
      <c r="Q18" s="40"/>
      <c r="R18" s="46"/>
      <c r="S18" s="40">
        <v>9</v>
      </c>
      <c r="T18" s="46">
        <v>3</v>
      </c>
      <c r="U18" s="47">
        <f>C18+E18+G18+I18+K18+M18+O18+Q18+S18</f>
        <v>104</v>
      </c>
      <c r="V18" s="47">
        <f>D18+F18+H18+J18+L18+N18+P18+R18+T18</f>
        <v>39</v>
      </c>
      <c r="W18" s="44">
        <f>+V18+U18</f>
        <v>143</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4.1" customHeight="1">
      <c r="A19" s="824" t="s">
        <v>112</v>
      </c>
      <c r="B19" s="820" t="s">
        <v>113</v>
      </c>
      <c r="C19" s="40">
        <v>1</v>
      </c>
      <c r="D19" s="41">
        <v>2</v>
      </c>
      <c r="E19" s="40">
        <v>3</v>
      </c>
      <c r="F19" s="41">
        <v>1</v>
      </c>
      <c r="G19" s="40"/>
      <c r="H19" s="41"/>
      <c r="I19" s="40">
        <v>4</v>
      </c>
      <c r="J19" s="41"/>
      <c r="K19" s="40">
        <v>14</v>
      </c>
      <c r="L19" s="41">
        <v>21</v>
      </c>
      <c r="M19" s="40">
        <v>21</v>
      </c>
      <c r="N19" s="41">
        <v>10</v>
      </c>
      <c r="O19" s="40">
        <v>2</v>
      </c>
      <c r="P19" s="41">
        <v>1</v>
      </c>
      <c r="Q19" s="40"/>
      <c r="R19" s="46"/>
      <c r="S19" s="40">
        <v>4</v>
      </c>
      <c r="T19" s="46"/>
      <c r="U19" s="47">
        <f>C19+E19+G19+I19+K19+M19+O19+Q19+S19</f>
        <v>49</v>
      </c>
      <c r="V19" s="47">
        <f>D19+F19+H19+J19+L19+N19+P19+R19+T19</f>
        <v>35</v>
      </c>
      <c r="W19" s="618">
        <f>+V19+U19</f>
        <v>84</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4.1" customHeight="1">
      <c r="A20" s="832" t="s">
        <v>114</v>
      </c>
      <c r="B20" s="822"/>
      <c r="C20" s="136"/>
      <c r="D20" s="136"/>
      <c r="E20" s="136"/>
      <c r="F20" s="136"/>
      <c r="G20" s="136"/>
      <c r="H20" s="136"/>
      <c r="I20" s="136"/>
      <c r="J20" s="136"/>
      <c r="K20" s="136"/>
      <c r="L20" s="136"/>
      <c r="M20" s="136"/>
      <c r="N20" s="136"/>
      <c r="O20" s="136"/>
      <c r="P20" s="136"/>
      <c r="Q20" s="136"/>
      <c r="R20" s="136"/>
      <c r="S20" s="136"/>
      <c r="T20" s="136"/>
      <c r="U20" s="821"/>
      <c r="V20" s="821"/>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4.1" customHeight="1">
      <c r="A21" s="825" t="s">
        <v>115</v>
      </c>
      <c r="B21" s="22" t="s">
        <v>116</v>
      </c>
      <c r="C21" s="40"/>
      <c r="D21" s="41"/>
      <c r="E21" s="40">
        <v>21</v>
      </c>
      <c r="F21" s="41">
        <v>3</v>
      </c>
      <c r="G21" s="40"/>
      <c r="H21" s="41"/>
      <c r="I21" s="40">
        <v>7</v>
      </c>
      <c r="J21" s="41">
        <v>5</v>
      </c>
      <c r="K21" s="40">
        <v>35</v>
      </c>
      <c r="L21" s="41">
        <v>35</v>
      </c>
      <c r="M21" s="40">
        <v>82</v>
      </c>
      <c r="N21" s="41">
        <v>24</v>
      </c>
      <c r="O21" s="40">
        <v>1</v>
      </c>
      <c r="P21" s="41"/>
      <c r="Q21" s="40"/>
      <c r="R21" s="46"/>
      <c r="S21" s="40">
        <v>8</v>
      </c>
      <c r="T21" s="46"/>
      <c r="U21" s="47">
        <f t="shared" ref="U21:V26" si="0">C21+E21+G21+I21+K21+M21+O21+Q21+S21</f>
        <v>154</v>
      </c>
      <c r="V21" s="47">
        <f t="shared" si="0"/>
        <v>67</v>
      </c>
      <c r="W21" s="49">
        <f t="shared" ref="W21:W26" si="1">+V21+U21</f>
        <v>221</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4.1" customHeight="1">
      <c r="A22" s="825" t="s">
        <v>117</v>
      </c>
      <c r="B22" s="22" t="s">
        <v>118</v>
      </c>
      <c r="C22" s="40"/>
      <c r="D22" s="41"/>
      <c r="E22" s="40">
        <v>8</v>
      </c>
      <c r="F22" s="41">
        <v>2</v>
      </c>
      <c r="G22" s="40"/>
      <c r="H22" s="41"/>
      <c r="I22" s="40">
        <v>9</v>
      </c>
      <c r="J22" s="41">
        <v>2</v>
      </c>
      <c r="K22" s="40">
        <v>26</v>
      </c>
      <c r="L22" s="41">
        <v>12</v>
      </c>
      <c r="M22" s="40">
        <v>76</v>
      </c>
      <c r="N22" s="41">
        <v>30</v>
      </c>
      <c r="O22" s="40">
        <v>1</v>
      </c>
      <c r="P22" s="41"/>
      <c r="Q22" s="40"/>
      <c r="R22" s="46"/>
      <c r="S22" s="40">
        <v>6</v>
      </c>
      <c r="T22" s="46">
        <v>3</v>
      </c>
      <c r="U22" s="47">
        <f t="shared" si="0"/>
        <v>126</v>
      </c>
      <c r="V22" s="47">
        <f t="shared" si="0"/>
        <v>49</v>
      </c>
      <c r="W22" s="44">
        <f t="shared" si="1"/>
        <v>175</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4.1" customHeight="1">
      <c r="A23" s="825" t="s">
        <v>119</v>
      </c>
      <c r="B23" s="22" t="s">
        <v>120</v>
      </c>
      <c r="C23" s="40"/>
      <c r="D23" s="41"/>
      <c r="E23" s="40">
        <v>9</v>
      </c>
      <c r="F23" s="41">
        <v>4</v>
      </c>
      <c r="G23" s="40"/>
      <c r="H23" s="41">
        <v>1</v>
      </c>
      <c r="I23" s="40">
        <v>12</v>
      </c>
      <c r="J23" s="41">
        <v>5</v>
      </c>
      <c r="K23" s="40">
        <v>23</v>
      </c>
      <c r="L23" s="41">
        <v>17</v>
      </c>
      <c r="M23" s="40">
        <v>72</v>
      </c>
      <c r="N23" s="41">
        <v>35</v>
      </c>
      <c r="O23" s="40">
        <v>3</v>
      </c>
      <c r="P23" s="41">
        <v>2</v>
      </c>
      <c r="Q23" s="40"/>
      <c r="R23" s="46"/>
      <c r="S23" s="40">
        <v>3</v>
      </c>
      <c r="T23" s="46">
        <v>1</v>
      </c>
      <c r="U23" s="47">
        <f t="shared" si="0"/>
        <v>122</v>
      </c>
      <c r="V23" s="47">
        <f t="shared" si="0"/>
        <v>65</v>
      </c>
      <c r="W23" s="44">
        <f t="shared" si="1"/>
        <v>187</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4.1" customHeight="1">
      <c r="A24" s="825" t="s">
        <v>121</v>
      </c>
      <c r="B24" s="22" t="s">
        <v>122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7" t="s">
        <v>123</v>
      </c>
      <c r="B25" s="22" t="s">
        <v>124</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50" t="s">
        <v>125</v>
      </c>
      <c r="B26" s="551" t="s">
        <v>126</v>
      </c>
      <c r="C26" s="552">
        <f t="shared" ref="C26:P26" si="2">SUM(C18:C25)</f>
        <v>1</v>
      </c>
      <c r="D26" s="552">
        <f t="shared" si="2"/>
        <v>2</v>
      </c>
      <c r="E26" s="552">
        <f t="shared" si="2"/>
        <v>55</v>
      </c>
      <c r="F26" s="552">
        <f t="shared" si="2"/>
        <v>13</v>
      </c>
      <c r="G26" s="552">
        <f t="shared" si="2"/>
        <v>1</v>
      </c>
      <c r="H26" s="552">
        <f t="shared" si="2"/>
        <v>1</v>
      </c>
      <c r="I26" s="552">
        <f t="shared" si="2"/>
        <v>35</v>
      </c>
      <c r="J26" s="552">
        <f t="shared" si="2"/>
        <v>16</v>
      </c>
      <c r="K26" s="552">
        <f t="shared" si="2"/>
        <v>120</v>
      </c>
      <c r="L26" s="552">
        <f t="shared" si="2"/>
        <v>97</v>
      </c>
      <c r="M26" s="552">
        <f t="shared" si="2"/>
        <v>306</v>
      </c>
      <c r="N26" s="552">
        <f t="shared" si="2"/>
        <v>116</v>
      </c>
      <c r="O26" s="552">
        <f t="shared" si="2"/>
        <v>7</v>
      </c>
      <c r="P26" s="552">
        <f t="shared" si="2"/>
        <v>3</v>
      </c>
      <c r="Q26" s="552">
        <f>SUM(Q18:Q25)</f>
        <v>0</v>
      </c>
      <c r="R26" s="552">
        <f>SUM(R18:R25)</f>
        <v>0</v>
      </c>
      <c r="S26" s="552">
        <f>SUM(S18:S25)</f>
        <v>30</v>
      </c>
      <c r="T26" s="552">
        <f>SUM(T18:T25)</f>
        <v>7</v>
      </c>
      <c r="U26" s="552">
        <f t="shared" si="0"/>
        <v>555</v>
      </c>
      <c r="V26" s="552">
        <f t="shared" si="0"/>
        <v>255</v>
      </c>
      <c r="W26" s="553">
        <f t="shared" si="1"/>
        <v>810</v>
      </c>
      <c r="X26" s="608"/>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96" ht="18" hidden="1" customHeight="1" thickTop="1">
      <c r="A27" s="548" t="s">
        <v>127</v>
      </c>
      <c r="B27" s="239"/>
      <c r="C27" s="549"/>
      <c r="D27" s="549"/>
      <c r="E27" s="549"/>
      <c r="F27" s="549"/>
      <c r="G27" s="549"/>
      <c r="H27" s="549"/>
      <c r="I27" s="549"/>
      <c r="J27" s="549"/>
      <c r="K27" s="549"/>
      <c r="L27" s="549"/>
      <c r="M27" s="549"/>
      <c r="N27" s="549"/>
      <c r="O27" s="549"/>
      <c r="P27" s="549"/>
      <c r="Q27" s="549"/>
      <c r="R27" s="549"/>
      <c r="S27" s="549"/>
      <c r="T27" s="549"/>
      <c r="U27" s="371"/>
      <c r="V27" s="371"/>
      <c r="W27" s="485"/>
      <c r="X27" s="609"/>
    </row>
    <row r="28" spans="1:96" s="17" customFormat="1" ht="13.15" hidden="1">
      <c r="A28" s="38" t="s">
        <v>128</v>
      </c>
      <c r="B28" s="34" t="s">
        <v>129</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9" hidden="1" thickBot="1">
      <c r="A29" s="604" t="s">
        <v>130</v>
      </c>
      <c r="B29" s="605" t="s">
        <v>131</v>
      </c>
      <c r="C29" s="606"/>
      <c r="D29" s="607"/>
      <c r="E29" s="606"/>
      <c r="F29" s="607"/>
      <c r="G29" s="606"/>
      <c r="H29" s="607"/>
      <c r="I29" s="606"/>
      <c r="J29" s="607"/>
      <c r="K29" s="606"/>
      <c r="L29" s="607"/>
      <c r="M29" s="606"/>
      <c r="N29" s="607"/>
      <c r="O29" s="606"/>
      <c r="P29" s="607"/>
      <c r="Q29" s="607"/>
      <c r="R29" s="607"/>
      <c r="S29" s="607"/>
      <c r="T29" s="607"/>
      <c r="U29" s="299">
        <f>C29+E29+G29+I29+K29+M29+O29</f>
        <v>0</v>
      </c>
      <c r="V29" s="299">
        <f>D29+F29+H29+J29+L29+N29+P29</f>
        <v>0</v>
      </c>
      <c r="W29" s="297">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96" ht="18" thickTop="1">
      <c r="A30" s="548" t="s">
        <v>132</v>
      </c>
      <c r="B30" s="239"/>
      <c r="C30" s="549"/>
      <c r="D30" s="549"/>
      <c r="E30" s="549"/>
      <c r="F30" s="549"/>
      <c r="G30" s="549"/>
      <c r="H30" s="549"/>
      <c r="I30" s="549"/>
      <c r="J30" s="549"/>
      <c r="K30" s="549"/>
      <c r="L30" s="549"/>
      <c r="M30" s="549"/>
      <c r="N30" s="549"/>
      <c r="O30" s="549"/>
      <c r="P30" s="549"/>
      <c r="Q30" s="549"/>
      <c r="R30" s="549"/>
      <c r="S30" s="549"/>
      <c r="T30" s="549"/>
      <c r="U30" s="371"/>
      <c r="V30" s="371"/>
      <c r="W30" s="485"/>
    </row>
    <row r="31" spans="1:96" ht="13.15">
      <c r="A31" s="37" t="s">
        <v>133</v>
      </c>
      <c r="B31" s="242" t="s">
        <v>61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3.15">
      <c r="A32" s="538" t="s">
        <v>134</v>
      </c>
      <c r="B32" s="22" t="s">
        <v>135</v>
      </c>
      <c r="C32" s="40"/>
      <c r="D32" s="41">
        <v>1</v>
      </c>
      <c r="E32" s="40"/>
      <c r="F32" s="41">
        <v>1</v>
      </c>
      <c r="G32" s="40"/>
      <c r="H32" s="41"/>
      <c r="I32" s="40"/>
      <c r="J32" s="41"/>
      <c r="K32" s="40"/>
      <c r="L32" s="41"/>
      <c r="M32" s="40"/>
      <c r="N32" s="41"/>
      <c r="O32" s="40"/>
      <c r="P32" s="41"/>
      <c r="Q32" s="40"/>
      <c r="R32" s="46"/>
      <c r="S32" s="40"/>
      <c r="T32" s="46"/>
      <c r="U32" s="47">
        <f t="shared" ref="U32:V35" si="3">C32+E32+G32+I32+K32+M32+O32+Q32+S32</f>
        <v>0</v>
      </c>
      <c r="V32" s="47">
        <f t="shared" si="3"/>
        <v>2</v>
      </c>
      <c r="W32" s="44">
        <f>+V32+U32</f>
        <v>2</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3.15">
      <c r="A33" s="538" t="s">
        <v>136</v>
      </c>
      <c r="B33" s="22">
        <v>12</v>
      </c>
      <c r="C33" s="40"/>
      <c r="D33" s="41">
        <v>1</v>
      </c>
      <c r="E33" s="40"/>
      <c r="F33" s="41"/>
      <c r="G33" s="40"/>
      <c r="H33" s="41"/>
      <c r="I33" s="40"/>
      <c r="J33" s="41">
        <v>1</v>
      </c>
      <c r="K33" s="40">
        <v>1</v>
      </c>
      <c r="L33" s="41">
        <v>2</v>
      </c>
      <c r="M33" s="40">
        <v>3</v>
      </c>
      <c r="N33" s="41">
        <v>1</v>
      </c>
      <c r="O33" s="40"/>
      <c r="P33" s="41"/>
      <c r="Q33" s="40"/>
      <c r="R33" s="46"/>
      <c r="S33" s="40"/>
      <c r="T33" s="46"/>
      <c r="U33" s="47">
        <f t="shared" si="3"/>
        <v>4</v>
      </c>
      <c r="V33" s="47">
        <f t="shared" si="3"/>
        <v>5</v>
      </c>
      <c r="W33" s="44">
        <f>+V33+U33</f>
        <v>9</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45">
      <c r="A34" s="547" t="s">
        <v>137</v>
      </c>
      <c r="B34" s="22" t="s">
        <v>138</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6" t="s">
        <v>139</v>
      </c>
      <c r="B35" s="24" t="s">
        <v>140</v>
      </c>
      <c r="C35" s="47">
        <f>SUM(C32:C34)</f>
        <v>0</v>
      </c>
      <c r="D35" s="47">
        <f t="shared" ref="D35:P35" si="4">SUM(D32:D34)</f>
        <v>2</v>
      </c>
      <c r="E35" s="47">
        <f t="shared" si="4"/>
        <v>0</v>
      </c>
      <c r="F35" s="47">
        <f t="shared" si="4"/>
        <v>1</v>
      </c>
      <c r="G35" s="47">
        <f t="shared" si="4"/>
        <v>0</v>
      </c>
      <c r="H35" s="47">
        <f t="shared" si="4"/>
        <v>0</v>
      </c>
      <c r="I35" s="47">
        <f t="shared" si="4"/>
        <v>0</v>
      </c>
      <c r="J35" s="47">
        <f t="shared" si="4"/>
        <v>1</v>
      </c>
      <c r="K35" s="47">
        <f t="shared" si="4"/>
        <v>1</v>
      </c>
      <c r="L35" s="47">
        <f t="shared" si="4"/>
        <v>2</v>
      </c>
      <c r="M35" s="47">
        <f t="shared" si="4"/>
        <v>3</v>
      </c>
      <c r="N35" s="47">
        <f t="shared" si="4"/>
        <v>1</v>
      </c>
      <c r="O35" s="47">
        <f t="shared" si="4"/>
        <v>0</v>
      </c>
      <c r="P35" s="47">
        <f t="shared" si="4"/>
        <v>0</v>
      </c>
      <c r="Q35" s="47">
        <f>SUM(Q32:Q34)</f>
        <v>0</v>
      </c>
      <c r="R35" s="47">
        <f>SUM(R32:R34)</f>
        <v>0</v>
      </c>
      <c r="S35" s="47">
        <f>SUM(S32:S34)</f>
        <v>0</v>
      </c>
      <c r="T35" s="47">
        <f>SUM(T32:T34)</f>
        <v>0</v>
      </c>
      <c r="U35" s="47">
        <f t="shared" si="3"/>
        <v>4</v>
      </c>
      <c r="V35" s="47">
        <f t="shared" si="3"/>
        <v>7</v>
      </c>
      <c r="W35" s="49">
        <f>U35+V35</f>
        <v>11</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spans="1:96" ht="25.5" customHeight="1"/>
    <row r="37" spans="1:96" ht="15.6">
      <c r="A37" s="483" t="str">
        <f>+A42&amp;" PART A (Continued)"</f>
        <v>520000 PART A (Continued)</v>
      </c>
      <c r="B37" s="26" t="str">
        <f>A1</f>
        <v>FALL ENROLLMENT 2021</v>
      </c>
      <c r="C37" s="27"/>
      <c r="D37" s="27"/>
      <c r="E37" s="27"/>
      <c r="F37" s="27"/>
      <c r="G37" s="27"/>
      <c r="H37" s="27"/>
      <c r="I37" s="27"/>
      <c r="J37" s="27"/>
      <c r="K37" s="27"/>
      <c r="L37" s="27"/>
      <c r="M37" s="27"/>
      <c r="N37" s="27"/>
      <c r="O37" s="27"/>
      <c r="P37" s="27"/>
      <c r="Q37" s="27"/>
      <c r="R37" s="27"/>
      <c r="S37" s="27"/>
      <c r="T37" s="27"/>
      <c r="U37" s="13" t="s">
        <v>61</v>
      </c>
    </row>
    <row r="38" spans="1:96" ht="15.6">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3.15">
      <c r="A39" s="28" t="s">
        <v>61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96">
      <c r="A40" s="1009" t="str">
        <f>+A10</f>
        <v>BUSINESS, MANAGEMENT, MARKETING, &amp; RELATED SUPPORT SERVICES</v>
      </c>
      <c r="B40" s="36"/>
      <c r="C40" s="991" t="s">
        <v>54</v>
      </c>
      <c r="D40" s="992"/>
      <c r="E40" s="991" t="s">
        <v>55</v>
      </c>
      <c r="F40" s="992"/>
      <c r="G40" s="991" t="s">
        <v>56</v>
      </c>
      <c r="H40" s="992"/>
      <c r="I40" s="991"/>
      <c r="J40" s="992"/>
      <c r="K40" s="991" t="s">
        <v>57</v>
      </c>
      <c r="L40" s="992"/>
      <c r="M40" s="991"/>
      <c r="N40" s="992"/>
      <c r="O40" s="991" t="s">
        <v>58</v>
      </c>
      <c r="P40" s="992"/>
      <c r="Q40" s="991" t="s">
        <v>59</v>
      </c>
      <c r="R40" s="992"/>
      <c r="S40" s="991" t="s">
        <v>60</v>
      </c>
      <c r="T40" s="992"/>
      <c r="U40" s="59" t="s">
        <v>61</v>
      </c>
      <c r="V40" s="60"/>
      <c r="W40" s="61"/>
    </row>
    <row r="41" spans="1:96" ht="47.25" customHeight="1">
      <c r="A41" s="1010"/>
      <c r="B41" s="20"/>
      <c r="C41" s="993" t="s">
        <v>62</v>
      </c>
      <c r="D41" s="994"/>
      <c r="E41" s="993" t="s">
        <v>63</v>
      </c>
      <c r="F41" s="994"/>
      <c r="G41" s="993" t="s">
        <v>64</v>
      </c>
      <c r="H41" s="994"/>
      <c r="I41" s="993" t="s">
        <v>65</v>
      </c>
      <c r="J41" s="994"/>
      <c r="K41" s="993" t="s">
        <v>66</v>
      </c>
      <c r="L41" s="994"/>
      <c r="M41" s="993" t="s">
        <v>67</v>
      </c>
      <c r="N41" s="994"/>
      <c r="O41" s="993" t="s">
        <v>68</v>
      </c>
      <c r="P41" s="994"/>
      <c r="Q41" s="993" t="s">
        <v>69</v>
      </c>
      <c r="R41" s="994"/>
      <c r="S41" s="993" t="s">
        <v>70</v>
      </c>
      <c r="T41" s="994"/>
      <c r="U41" s="62" t="s">
        <v>71</v>
      </c>
      <c r="V41" s="63"/>
      <c r="W41" s="64"/>
    </row>
    <row r="42" spans="1:96" s="17" customFormat="1">
      <c r="A42" s="986" t="str">
        <f>+A12</f>
        <v>520000</v>
      </c>
      <c r="B42" s="20"/>
      <c r="C42" s="995" t="s">
        <v>73</v>
      </c>
      <c r="D42" s="996"/>
      <c r="E42" s="995" t="s">
        <v>56</v>
      </c>
      <c r="F42" s="996"/>
      <c r="G42" s="995" t="s">
        <v>74</v>
      </c>
      <c r="H42" s="996"/>
      <c r="I42" s="995"/>
      <c r="J42" s="996"/>
      <c r="K42" s="995" t="s">
        <v>75</v>
      </c>
      <c r="L42" s="996"/>
      <c r="M42" s="995"/>
      <c r="N42" s="996"/>
      <c r="O42" s="995" t="s">
        <v>76</v>
      </c>
      <c r="P42" s="996"/>
      <c r="Q42" s="995" t="s">
        <v>77</v>
      </c>
      <c r="R42" s="996"/>
      <c r="S42" s="995" t="s">
        <v>78</v>
      </c>
      <c r="T42" s="996"/>
      <c r="U42" s="65" t="s">
        <v>79</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96" ht="21" customHeight="1">
      <c r="A43" s="1153"/>
      <c r="B43" s="20" t="s">
        <v>80</v>
      </c>
      <c r="C43" s="68" t="s">
        <v>81</v>
      </c>
      <c r="D43" s="23" t="s">
        <v>82</v>
      </c>
      <c r="E43" s="68" t="s">
        <v>81</v>
      </c>
      <c r="F43" s="23" t="s">
        <v>82</v>
      </c>
      <c r="G43" s="68" t="s">
        <v>81</v>
      </c>
      <c r="H43" s="23" t="s">
        <v>82</v>
      </c>
      <c r="I43" s="68" t="s">
        <v>81</v>
      </c>
      <c r="J43" s="23" t="s">
        <v>82</v>
      </c>
      <c r="K43" s="68" t="s">
        <v>81</v>
      </c>
      <c r="L43" s="23" t="s">
        <v>82</v>
      </c>
      <c r="M43" s="68" t="s">
        <v>81</v>
      </c>
      <c r="N43" s="23" t="s">
        <v>82</v>
      </c>
      <c r="O43" s="68" t="s">
        <v>81</v>
      </c>
      <c r="P43" s="23" t="s">
        <v>82</v>
      </c>
      <c r="Q43" s="68" t="s">
        <v>81</v>
      </c>
      <c r="R43" s="23" t="s">
        <v>82</v>
      </c>
      <c r="S43" s="68" t="s">
        <v>81</v>
      </c>
      <c r="T43" s="23" t="s">
        <v>82</v>
      </c>
      <c r="U43" s="69" t="s">
        <v>81</v>
      </c>
      <c r="V43" s="21" t="s">
        <v>82</v>
      </c>
      <c r="W43" s="21" t="s">
        <v>83</v>
      </c>
    </row>
    <row r="44" spans="1:96" s="17" customFormat="1" ht="13.15">
      <c r="A44" s="602" t="s">
        <v>84</v>
      </c>
      <c r="B44" s="19" t="s">
        <v>85</v>
      </c>
      <c r="C44" s="70" t="s">
        <v>86</v>
      </c>
      <c r="D44" s="70" t="s">
        <v>87</v>
      </c>
      <c r="E44" s="70" t="s">
        <v>88</v>
      </c>
      <c r="F44" s="70" t="s">
        <v>89</v>
      </c>
      <c r="G44" s="70" t="s">
        <v>90</v>
      </c>
      <c r="H44" s="70" t="s">
        <v>91</v>
      </c>
      <c r="I44" s="70" t="s">
        <v>92</v>
      </c>
      <c r="J44" s="70" t="s">
        <v>93</v>
      </c>
      <c r="K44" s="70" t="s">
        <v>94</v>
      </c>
      <c r="L44" s="70" t="s">
        <v>95</v>
      </c>
      <c r="M44" s="70" t="s">
        <v>96</v>
      </c>
      <c r="N44" s="70" t="s">
        <v>97</v>
      </c>
      <c r="O44" s="70" t="s">
        <v>98</v>
      </c>
      <c r="P44" s="70" t="s">
        <v>99</v>
      </c>
      <c r="Q44" s="70" t="s">
        <v>100</v>
      </c>
      <c r="R44" s="70" t="s">
        <v>101</v>
      </c>
      <c r="S44" s="70" t="s">
        <v>102</v>
      </c>
      <c r="T44" s="70" t="s">
        <v>103</v>
      </c>
      <c r="U44" s="71" t="s">
        <v>104</v>
      </c>
      <c r="V44" s="71" t="s">
        <v>105</v>
      </c>
      <c r="W44" s="71" t="s">
        <v>106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9">
      <c r="A45" s="987" t="s">
        <v>141</v>
      </c>
      <c r="B45" s="988"/>
      <c r="C45" s="988"/>
      <c r="D45" s="988"/>
      <c r="E45" s="988"/>
      <c r="F45" s="988"/>
      <c r="G45" s="988"/>
      <c r="H45" s="988"/>
      <c r="I45" s="988"/>
      <c r="J45" s="988"/>
      <c r="K45" s="988"/>
      <c r="L45" s="988"/>
      <c r="M45" s="988"/>
      <c r="N45" s="988"/>
      <c r="O45" s="988"/>
      <c r="P45" s="988"/>
      <c r="Q45" s="988"/>
      <c r="R45" s="988"/>
      <c r="S45" s="988"/>
      <c r="T45" s="988"/>
      <c r="U45" s="988"/>
      <c r="V45" s="988"/>
      <c r="W45" s="98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96" ht="17.45">
      <c r="A46" s="548" t="s">
        <v>108</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96" ht="13.15">
      <c r="A47" s="37" t="s">
        <v>109</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3.15">
      <c r="A48" s="823" t="s">
        <v>110</v>
      </c>
      <c r="B48" s="34">
        <v>15</v>
      </c>
      <c r="C48" s="40"/>
      <c r="D48" s="41"/>
      <c r="E48" s="40"/>
      <c r="F48" s="41"/>
      <c r="G48" s="40"/>
      <c r="H48" s="41"/>
      <c r="I48" s="40"/>
      <c r="J48" s="41"/>
      <c r="K48" s="40"/>
      <c r="L48" s="41">
        <v>3</v>
      </c>
      <c r="M48" s="40">
        <v>4</v>
      </c>
      <c r="N48" s="41"/>
      <c r="O48" s="40"/>
      <c r="P48" s="41"/>
      <c r="Q48" s="40"/>
      <c r="R48" s="46"/>
      <c r="S48" s="40"/>
      <c r="T48" s="46"/>
      <c r="U48" s="47">
        <f>C48+E48+G48+I48+K48+M48+O48+Q48+S48</f>
        <v>4</v>
      </c>
      <c r="V48" s="47">
        <f>D48+F48+H48+J48+L48+N48+P48+R48+T48</f>
        <v>3</v>
      </c>
      <c r="W48" s="44">
        <f>+V48+U48</f>
        <v>7</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3.15">
      <c r="A49" s="824" t="s">
        <v>112</v>
      </c>
      <c r="B49" s="22" t="s">
        <v>142</v>
      </c>
      <c r="C49" s="40"/>
      <c r="D49" s="41"/>
      <c r="E49" s="40"/>
      <c r="F49" s="41">
        <v>1</v>
      </c>
      <c r="G49" s="40"/>
      <c r="H49" s="41"/>
      <c r="I49" s="40"/>
      <c r="J49" s="41"/>
      <c r="K49" s="40">
        <v>3</v>
      </c>
      <c r="L49" s="41">
        <v>4</v>
      </c>
      <c r="M49" s="40">
        <v>2</v>
      </c>
      <c r="N49" s="41">
        <v>1</v>
      </c>
      <c r="O49" s="40"/>
      <c r="P49" s="41"/>
      <c r="Q49" s="40"/>
      <c r="R49" s="46"/>
      <c r="S49" s="40"/>
      <c r="T49" s="46"/>
      <c r="U49" s="47">
        <f>C49+E49+G49+I49+K49+M49+O49+Q49+S49</f>
        <v>5</v>
      </c>
      <c r="V49" s="47">
        <f>D49+F49+H49+J49+L49+N49+P49+R49+T49</f>
        <v>6</v>
      </c>
      <c r="W49" s="44">
        <f>+V49+U49</f>
        <v>11</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9">
      <c r="A50" s="829" t="s">
        <v>143</v>
      </c>
      <c r="B50" s="822"/>
      <c r="C50" s="826"/>
      <c r="D50" s="826"/>
      <c r="E50" s="826"/>
      <c r="F50" s="826"/>
      <c r="G50" s="826"/>
      <c r="H50" s="826"/>
      <c r="I50" s="826"/>
      <c r="J50" s="826"/>
      <c r="K50" s="826"/>
      <c r="L50" s="826"/>
      <c r="M50" s="826"/>
      <c r="N50" s="826"/>
      <c r="O50" s="826"/>
      <c r="P50" s="826"/>
      <c r="Q50" s="826"/>
      <c r="R50" s="826"/>
      <c r="S50" s="826"/>
      <c r="T50" s="826"/>
      <c r="U50" s="821"/>
      <c r="V50" s="821"/>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3.15">
      <c r="A51" s="825" t="s">
        <v>115</v>
      </c>
      <c r="B51" s="22" t="s">
        <v>144</v>
      </c>
      <c r="C51" s="40"/>
      <c r="D51" s="41"/>
      <c r="E51" s="40">
        <v>1</v>
      </c>
      <c r="F51" s="41"/>
      <c r="G51" s="40"/>
      <c r="H51" s="41"/>
      <c r="I51" s="40"/>
      <c r="J51" s="41"/>
      <c r="K51" s="40">
        <v>2</v>
      </c>
      <c r="L51" s="41">
        <v>3</v>
      </c>
      <c r="M51" s="40">
        <v>8</v>
      </c>
      <c r="N51" s="41"/>
      <c r="O51" s="40"/>
      <c r="P51" s="41"/>
      <c r="Q51" s="40"/>
      <c r="R51" s="46"/>
      <c r="S51" s="40"/>
      <c r="T51" s="46"/>
      <c r="U51" s="47">
        <f t="shared" ref="U51:V56" si="5">C51+E51+G51+I51+K51+M51+O51+Q51+S51</f>
        <v>11</v>
      </c>
      <c r="V51" s="47">
        <f t="shared" si="5"/>
        <v>3</v>
      </c>
      <c r="W51" s="44">
        <f t="shared" ref="W51:W56" si="6">+V51+U51</f>
        <v>14</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3.15">
      <c r="A52" s="825" t="s">
        <v>117</v>
      </c>
      <c r="B52" s="22" t="s">
        <v>145</v>
      </c>
      <c r="C52" s="40"/>
      <c r="D52" s="41"/>
      <c r="E52" s="40"/>
      <c r="F52" s="41"/>
      <c r="G52" s="40"/>
      <c r="H52" s="41"/>
      <c r="I52" s="40"/>
      <c r="J52" s="41"/>
      <c r="K52" s="40">
        <v>1</v>
      </c>
      <c r="L52" s="41">
        <v>4</v>
      </c>
      <c r="M52" s="40">
        <v>11</v>
      </c>
      <c r="N52" s="41">
        <v>4</v>
      </c>
      <c r="O52" s="40"/>
      <c r="P52" s="41">
        <v>1</v>
      </c>
      <c r="Q52" s="40"/>
      <c r="R52" s="46"/>
      <c r="S52" s="40"/>
      <c r="T52" s="46"/>
      <c r="U52" s="47">
        <f t="shared" si="5"/>
        <v>12</v>
      </c>
      <c r="V52" s="47">
        <f t="shared" si="5"/>
        <v>9</v>
      </c>
      <c r="W52" s="44">
        <f t="shared" si="6"/>
        <v>21</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3.15">
      <c r="A53" s="825" t="s">
        <v>119</v>
      </c>
      <c r="B53" s="22" t="s">
        <v>146</v>
      </c>
      <c r="C53" s="40"/>
      <c r="D53" s="41"/>
      <c r="E53" s="40">
        <v>4</v>
      </c>
      <c r="F53" s="41">
        <v>2</v>
      </c>
      <c r="G53" s="40"/>
      <c r="H53" s="41"/>
      <c r="I53" s="40">
        <v>2</v>
      </c>
      <c r="J53" s="41">
        <v>3</v>
      </c>
      <c r="K53" s="40">
        <v>15</v>
      </c>
      <c r="L53" s="41">
        <v>13</v>
      </c>
      <c r="M53" s="40">
        <v>26</v>
      </c>
      <c r="N53" s="41">
        <v>16</v>
      </c>
      <c r="O53" s="40">
        <v>2</v>
      </c>
      <c r="P53" s="41">
        <v>1</v>
      </c>
      <c r="Q53" s="40"/>
      <c r="R53" s="46"/>
      <c r="S53" s="40">
        <v>1</v>
      </c>
      <c r="T53" s="46">
        <v>1</v>
      </c>
      <c r="U53" s="47">
        <f t="shared" si="5"/>
        <v>50</v>
      </c>
      <c r="V53" s="47">
        <f t="shared" si="5"/>
        <v>36</v>
      </c>
      <c r="W53" s="44">
        <f t="shared" si="6"/>
        <v>86</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3.15">
      <c r="A54" s="825" t="s">
        <v>121</v>
      </c>
      <c r="B54" s="22" t="s">
        <v>147</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45">
      <c r="A55" s="547" t="s">
        <v>123</v>
      </c>
      <c r="B55" s="22" t="s">
        <v>148</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50" t="s">
        <v>149</v>
      </c>
      <c r="B56" s="551" t="s">
        <v>150</v>
      </c>
      <c r="C56" s="560">
        <f t="shared" ref="C56:P56" si="7">SUM(C48:C55)</f>
        <v>0</v>
      </c>
      <c r="D56" s="560">
        <f t="shared" si="7"/>
        <v>0</v>
      </c>
      <c r="E56" s="560">
        <f t="shared" si="7"/>
        <v>5</v>
      </c>
      <c r="F56" s="560">
        <f t="shared" si="7"/>
        <v>3</v>
      </c>
      <c r="G56" s="560">
        <f t="shared" si="7"/>
        <v>0</v>
      </c>
      <c r="H56" s="560">
        <f t="shared" si="7"/>
        <v>0</v>
      </c>
      <c r="I56" s="560">
        <f t="shared" si="7"/>
        <v>2</v>
      </c>
      <c r="J56" s="560">
        <f t="shared" si="7"/>
        <v>3</v>
      </c>
      <c r="K56" s="560">
        <f t="shared" si="7"/>
        <v>21</v>
      </c>
      <c r="L56" s="560">
        <f t="shared" si="7"/>
        <v>27</v>
      </c>
      <c r="M56" s="560">
        <f t="shared" si="7"/>
        <v>51</v>
      </c>
      <c r="N56" s="560">
        <f t="shared" si="7"/>
        <v>21</v>
      </c>
      <c r="O56" s="560">
        <f t="shared" si="7"/>
        <v>2</v>
      </c>
      <c r="P56" s="560">
        <f t="shared" si="7"/>
        <v>2</v>
      </c>
      <c r="Q56" s="560">
        <f>SUM(Q48:Q55)</f>
        <v>0</v>
      </c>
      <c r="R56" s="560">
        <f>SUM(R48:R55)</f>
        <v>0</v>
      </c>
      <c r="S56" s="560">
        <f>SUM(S48:S55)</f>
        <v>1</v>
      </c>
      <c r="T56" s="560">
        <f>SUM(T48:T55)</f>
        <v>1</v>
      </c>
      <c r="U56" s="552">
        <f t="shared" si="5"/>
        <v>82</v>
      </c>
      <c r="V56" s="552">
        <f t="shared" si="5"/>
        <v>57</v>
      </c>
      <c r="W56" s="553">
        <f t="shared" si="6"/>
        <v>139</v>
      </c>
      <c r="X56" s="608"/>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96" ht="21.75" hidden="1" customHeight="1" thickTop="1">
      <c r="A57" s="548" t="s">
        <v>127</v>
      </c>
      <c r="B57" s="239"/>
      <c r="C57" s="549"/>
      <c r="D57" s="549"/>
      <c r="E57" s="549"/>
      <c r="F57" s="549"/>
      <c r="G57" s="549"/>
      <c r="H57" s="549"/>
      <c r="I57" s="549"/>
      <c r="J57" s="549"/>
      <c r="K57" s="549"/>
      <c r="L57" s="549"/>
      <c r="M57" s="549"/>
      <c r="N57" s="549"/>
      <c r="O57" s="549"/>
      <c r="P57" s="549"/>
      <c r="Q57" s="549"/>
      <c r="R57" s="549"/>
      <c r="S57" s="549"/>
      <c r="T57" s="549"/>
      <c r="U57" s="371"/>
      <c r="V57" s="371"/>
      <c r="W57" s="484"/>
      <c r="X57" s="609"/>
    </row>
    <row r="58" spans="1:96" s="17" customFormat="1" ht="13.15" hidden="1">
      <c r="A58" s="38" t="s">
        <v>128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9" hidden="1" thickBot="1">
      <c r="A59" s="604" t="s">
        <v>130</v>
      </c>
      <c r="B59" s="605">
        <v>24</v>
      </c>
      <c r="C59" s="610"/>
      <c r="D59" s="611"/>
      <c r="E59" s="610"/>
      <c r="F59" s="611"/>
      <c r="G59" s="610"/>
      <c r="H59" s="611"/>
      <c r="I59" s="610"/>
      <c r="J59" s="611"/>
      <c r="K59" s="610"/>
      <c r="L59" s="611"/>
      <c r="M59" s="610"/>
      <c r="N59" s="611"/>
      <c r="O59" s="610"/>
      <c r="P59" s="611"/>
      <c r="Q59" s="611"/>
      <c r="R59" s="611"/>
      <c r="S59" s="611"/>
      <c r="T59" s="611"/>
      <c r="U59" s="297">
        <f>C59+E59+G59+I59+K59+M59+O59</f>
        <v>0</v>
      </c>
      <c r="V59" s="297">
        <f>D59+F59+H59+J59+L59+N59+P59</f>
        <v>0</v>
      </c>
      <c r="W59" s="297">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96" ht="18" thickTop="1">
      <c r="A60" s="548" t="s">
        <v>132</v>
      </c>
      <c r="B60" s="239"/>
      <c r="C60" s="549"/>
      <c r="D60" s="549"/>
      <c r="E60" s="549"/>
      <c r="F60" s="549"/>
      <c r="G60" s="549"/>
      <c r="H60" s="549"/>
      <c r="I60" s="549"/>
      <c r="J60" s="549"/>
      <c r="K60" s="549"/>
      <c r="L60" s="549"/>
      <c r="M60" s="549"/>
      <c r="N60" s="549"/>
      <c r="O60" s="549"/>
      <c r="P60" s="549"/>
      <c r="Q60" s="549"/>
      <c r="R60" s="549"/>
      <c r="S60" s="549"/>
      <c r="T60" s="549"/>
      <c r="U60" s="371"/>
      <c r="V60" s="371"/>
      <c r="W60" s="485"/>
    </row>
    <row r="61" spans="1:96" ht="13.15">
      <c r="A61" s="37" t="s">
        <v>133</v>
      </c>
      <c r="B61" s="242" t="s">
        <v>61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3.15">
      <c r="A62" s="538" t="s">
        <v>134</v>
      </c>
      <c r="B62" s="22" t="s">
        <v>151</v>
      </c>
      <c r="C62" s="40"/>
      <c r="D62" s="41"/>
      <c r="E62" s="40"/>
      <c r="F62" s="41"/>
      <c r="G62" s="40"/>
      <c r="H62" s="41"/>
      <c r="I62" s="40"/>
      <c r="J62" s="41"/>
      <c r="K62" s="40">
        <v>1</v>
      </c>
      <c r="L62" s="41">
        <v>1</v>
      </c>
      <c r="M62" s="40">
        <v>1</v>
      </c>
      <c r="N62" s="41">
        <v>1</v>
      </c>
      <c r="O62" s="40"/>
      <c r="P62" s="41"/>
      <c r="Q62" s="40"/>
      <c r="R62" s="46"/>
      <c r="S62" s="40"/>
      <c r="T62" s="46"/>
      <c r="U62" s="47">
        <f t="shared" ref="U62:V65" si="8">C62+E62+G62+I62+K62+M62+O62+Q62+S62</f>
        <v>2</v>
      </c>
      <c r="V62" s="47">
        <f t="shared" si="8"/>
        <v>2</v>
      </c>
      <c r="W62" s="44">
        <f>+V62+U62</f>
        <v>4</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3.15">
      <c r="A63" s="538" t="s">
        <v>136</v>
      </c>
      <c r="B63" s="34" t="s">
        <v>152</v>
      </c>
      <c r="C63" s="40"/>
      <c r="D63" s="41"/>
      <c r="E63" s="40"/>
      <c r="F63" s="41"/>
      <c r="G63" s="40"/>
      <c r="H63" s="41"/>
      <c r="I63" s="40"/>
      <c r="J63" s="41"/>
      <c r="K63" s="40">
        <v>1</v>
      </c>
      <c r="L63" s="41">
        <v>3</v>
      </c>
      <c r="M63" s="40">
        <v>5</v>
      </c>
      <c r="N63" s="41">
        <v>8</v>
      </c>
      <c r="O63" s="40"/>
      <c r="P63" s="41">
        <v>4</v>
      </c>
      <c r="Q63" s="40">
        <v>0</v>
      </c>
      <c r="R63" s="46"/>
      <c r="S63" s="40"/>
      <c r="T63" s="46"/>
      <c r="U63" s="47">
        <f t="shared" si="8"/>
        <v>6</v>
      </c>
      <c r="V63" s="47">
        <f t="shared" si="8"/>
        <v>15</v>
      </c>
      <c r="W63" s="44">
        <f>+V63+U63</f>
        <v>21</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45">
      <c r="A64" s="547" t="s">
        <v>137</v>
      </c>
      <c r="B64" s="22" t="s">
        <v>153</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7" t="s">
        <v>154</v>
      </c>
      <c r="B65" s="35" t="s">
        <v>155</v>
      </c>
      <c r="C65" s="48">
        <f>SUM(C62:C64)</f>
        <v>0</v>
      </c>
      <c r="D65" s="48">
        <f t="shared" ref="D65:P65" si="9">SUM(D62:D64)</f>
        <v>0</v>
      </c>
      <c r="E65" s="48">
        <f t="shared" si="9"/>
        <v>0</v>
      </c>
      <c r="F65" s="48">
        <f t="shared" si="9"/>
        <v>0</v>
      </c>
      <c r="G65" s="48">
        <f t="shared" si="9"/>
        <v>0</v>
      </c>
      <c r="H65" s="48">
        <f t="shared" si="9"/>
        <v>0</v>
      </c>
      <c r="I65" s="48">
        <f t="shared" si="9"/>
        <v>0</v>
      </c>
      <c r="J65" s="48">
        <f t="shared" si="9"/>
        <v>0</v>
      </c>
      <c r="K65" s="48">
        <f t="shared" si="9"/>
        <v>2</v>
      </c>
      <c r="L65" s="48">
        <f t="shared" si="9"/>
        <v>4</v>
      </c>
      <c r="M65" s="48">
        <f t="shared" si="9"/>
        <v>6</v>
      </c>
      <c r="N65" s="48">
        <f t="shared" si="9"/>
        <v>9</v>
      </c>
      <c r="O65" s="48">
        <f t="shared" si="9"/>
        <v>0</v>
      </c>
      <c r="P65" s="48">
        <f t="shared" si="9"/>
        <v>4</v>
      </c>
      <c r="Q65" s="48">
        <f>SUM(Q62:Q64)</f>
        <v>0</v>
      </c>
      <c r="R65" s="48">
        <f>SUM(R62:R64)</f>
        <v>0</v>
      </c>
      <c r="S65" s="48">
        <f>SUM(S62:S64)</f>
        <v>0</v>
      </c>
      <c r="T65" s="48">
        <f>SUM(T62:T64)</f>
        <v>0</v>
      </c>
      <c r="U65" s="552">
        <f t="shared" si="8"/>
        <v>8</v>
      </c>
      <c r="V65" s="552">
        <f t="shared" si="8"/>
        <v>17</v>
      </c>
      <c r="W65" s="51">
        <f>U65+V65</f>
        <v>25</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96" s="29" customFormat="1" ht="32.25" customHeight="1" thickTop="1">
      <c r="A66" s="554" t="s">
        <v>156</v>
      </c>
      <c r="B66" s="555" t="s">
        <v>157</v>
      </c>
      <c r="C66" s="556">
        <f t="shared" ref="C66:V66" si="10">C65+C56+C35+C26</f>
        <v>1</v>
      </c>
      <c r="D66" s="556">
        <f t="shared" si="10"/>
        <v>4</v>
      </c>
      <c r="E66" s="556">
        <f t="shared" si="10"/>
        <v>60</v>
      </c>
      <c r="F66" s="556">
        <f t="shared" si="10"/>
        <v>17</v>
      </c>
      <c r="G66" s="556">
        <f t="shared" si="10"/>
        <v>1</v>
      </c>
      <c r="H66" s="556">
        <f t="shared" si="10"/>
        <v>1</v>
      </c>
      <c r="I66" s="556">
        <f t="shared" si="10"/>
        <v>37</v>
      </c>
      <c r="J66" s="556">
        <f t="shared" si="10"/>
        <v>20</v>
      </c>
      <c r="K66" s="556">
        <f t="shared" si="10"/>
        <v>144</v>
      </c>
      <c r="L66" s="556">
        <f t="shared" si="10"/>
        <v>130</v>
      </c>
      <c r="M66" s="556">
        <f t="shared" si="10"/>
        <v>366</v>
      </c>
      <c r="N66" s="556">
        <f t="shared" si="10"/>
        <v>147</v>
      </c>
      <c r="O66" s="556">
        <f t="shared" si="10"/>
        <v>9</v>
      </c>
      <c r="P66" s="556">
        <f t="shared" si="10"/>
        <v>9</v>
      </c>
      <c r="Q66" s="556">
        <f>Q65+Q56+Q35+Q26</f>
        <v>0</v>
      </c>
      <c r="R66" s="556">
        <f>R65+R56+R35+R26</f>
        <v>0</v>
      </c>
      <c r="S66" s="556">
        <f>S65+S56+S35+S26</f>
        <v>31</v>
      </c>
      <c r="T66" s="556">
        <f>T65+T56+T35+T26</f>
        <v>8</v>
      </c>
      <c r="U66" s="556">
        <f t="shared" si="10"/>
        <v>649</v>
      </c>
      <c r="V66" s="556">
        <f t="shared" si="10"/>
        <v>336</v>
      </c>
      <c r="W66" s="557">
        <f>U66+V66</f>
        <v>985</v>
      </c>
      <c r="X66" s="39"/>
    </row>
    <row r="67" spans="1:96" ht="24.75" customHeight="1"/>
    <row r="68" spans="1:96" ht="15.6">
      <c r="A68"/>
      <c r="B68"/>
      <c r="C68"/>
      <c r="D68"/>
      <c r="E68"/>
      <c r="F68"/>
      <c r="G68"/>
      <c r="H68"/>
      <c r="I68"/>
      <c r="J68"/>
      <c r="K68"/>
      <c r="L68"/>
      <c r="M68"/>
      <c r="N68"/>
      <c r="O68"/>
      <c r="P68"/>
      <c r="Q68"/>
      <c r="R68"/>
      <c r="S68"/>
      <c r="T68"/>
      <c r="U68"/>
      <c r="V68"/>
      <c r="W68"/>
    </row>
    <row r="69" spans="1:96" ht="15.6">
      <c r="A69"/>
      <c r="B69"/>
      <c r="C69"/>
      <c r="D69"/>
      <c r="E69"/>
      <c r="F69"/>
      <c r="G69"/>
      <c r="H69"/>
      <c r="I69"/>
      <c r="J69"/>
      <c r="K69"/>
      <c r="L69"/>
      <c r="M69"/>
      <c r="N69"/>
      <c r="O69"/>
      <c r="P69"/>
      <c r="Q69"/>
      <c r="R69"/>
      <c r="S69"/>
      <c r="T69"/>
      <c r="U69"/>
      <c r="V69"/>
      <c r="W69"/>
    </row>
    <row r="70" spans="1:96" ht="15.6">
      <c r="A70"/>
      <c r="B70"/>
      <c r="C70"/>
      <c r="D70"/>
      <c r="E70"/>
      <c r="F70"/>
      <c r="G70"/>
      <c r="H70"/>
      <c r="I70"/>
      <c r="J70"/>
      <c r="K70"/>
      <c r="L70"/>
      <c r="M70"/>
      <c r="N70"/>
      <c r="O70"/>
      <c r="P70"/>
      <c r="Q70"/>
      <c r="R70"/>
      <c r="S70"/>
      <c r="T70"/>
      <c r="U70"/>
      <c r="V70"/>
      <c r="W70"/>
    </row>
    <row r="71" spans="1:96" ht="15.6">
      <c r="A71"/>
      <c r="B71"/>
      <c r="C71"/>
      <c r="D71"/>
      <c r="E71"/>
      <c r="F71"/>
      <c r="G71"/>
      <c r="H71"/>
      <c r="I71"/>
      <c r="J71"/>
      <c r="K71"/>
      <c r="L71"/>
      <c r="M71"/>
      <c r="N71"/>
      <c r="O71"/>
      <c r="P71"/>
      <c r="Q71"/>
      <c r="R71"/>
      <c r="S71"/>
      <c r="T71"/>
      <c r="U71"/>
      <c r="V71"/>
      <c r="W71"/>
    </row>
    <row r="72" spans="1:96" ht="15.6">
      <c r="A72"/>
      <c r="B72"/>
      <c r="C72"/>
      <c r="D72"/>
      <c r="E72"/>
      <c r="F72"/>
      <c r="G72"/>
      <c r="H72"/>
      <c r="I72"/>
      <c r="J72"/>
      <c r="K72"/>
      <c r="L72"/>
      <c r="M72"/>
      <c r="N72"/>
      <c r="O72"/>
      <c r="P72"/>
      <c r="Q72"/>
      <c r="R72"/>
      <c r="S72"/>
      <c r="T72"/>
      <c r="U72"/>
      <c r="V72"/>
      <c r="W72"/>
    </row>
    <row r="73" spans="1:96" ht="15.6">
      <c r="A73"/>
      <c r="B73"/>
      <c r="C73"/>
      <c r="D73"/>
      <c r="E73"/>
      <c r="F73"/>
      <c r="G73"/>
      <c r="H73"/>
      <c r="I73"/>
      <c r="J73"/>
      <c r="K73"/>
      <c r="L73"/>
      <c r="M73"/>
      <c r="N73"/>
      <c r="O73"/>
      <c r="P73"/>
      <c r="Q73"/>
      <c r="R73"/>
      <c r="S73"/>
      <c r="T73"/>
      <c r="U73"/>
      <c r="V73"/>
      <c r="W73"/>
    </row>
    <row r="74" spans="1:96" ht="15.6">
      <c r="A74"/>
      <c r="B74"/>
      <c r="C74"/>
      <c r="D74"/>
      <c r="E74"/>
      <c r="F74"/>
      <c r="G74"/>
      <c r="H74"/>
      <c r="I74"/>
      <c r="J74"/>
      <c r="K74"/>
      <c r="L74"/>
      <c r="M74"/>
      <c r="N74"/>
      <c r="O74"/>
      <c r="P74"/>
      <c r="Q74"/>
      <c r="R74"/>
      <c r="S74"/>
      <c r="T74"/>
      <c r="U74"/>
      <c r="V74"/>
      <c r="W74"/>
    </row>
    <row r="75" spans="1:96" ht="15.6">
      <c r="A75"/>
      <c r="B75"/>
      <c r="C75"/>
      <c r="D75"/>
      <c r="E75"/>
      <c r="F75"/>
      <c r="G75"/>
      <c r="H75"/>
      <c r="I75"/>
      <c r="J75"/>
      <c r="K75"/>
      <c r="L75"/>
      <c r="M75"/>
      <c r="N75"/>
      <c r="O75"/>
      <c r="P75"/>
      <c r="Q75"/>
      <c r="R75"/>
      <c r="S75"/>
      <c r="T75"/>
      <c r="U75"/>
      <c r="V75"/>
      <c r="W75"/>
    </row>
    <row r="76" spans="1:96" ht="15.6">
      <c r="A76"/>
      <c r="B76"/>
      <c r="C76"/>
      <c r="D76"/>
      <c r="E76"/>
      <c r="F76"/>
      <c r="G76"/>
      <c r="H76"/>
      <c r="I76"/>
      <c r="J76"/>
      <c r="K76"/>
      <c r="L76"/>
      <c r="M76"/>
      <c r="N76"/>
      <c r="O76"/>
      <c r="P76"/>
      <c r="Q76"/>
      <c r="R76"/>
      <c r="S76"/>
      <c r="T76"/>
      <c r="U76"/>
      <c r="V76"/>
      <c r="W76"/>
    </row>
    <row r="77" spans="1:96" ht="15.6">
      <c r="A77"/>
      <c r="B77"/>
      <c r="C77"/>
      <c r="D77"/>
      <c r="E77"/>
      <c r="F77"/>
      <c r="G77"/>
      <c r="H77"/>
      <c r="I77"/>
      <c r="J77"/>
      <c r="K77"/>
      <c r="L77"/>
      <c r="M77"/>
      <c r="N77"/>
      <c r="O77"/>
      <c r="P77"/>
      <c r="Q77"/>
      <c r="R77"/>
      <c r="S77"/>
      <c r="T77"/>
      <c r="U77"/>
      <c r="V77"/>
      <c r="W77"/>
    </row>
    <row r="78" spans="1:96" ht="15.6">
      <c r="A78"/>
      <c r="B78"/>
      <c r="C78"/>
      <c r="D78"/>
      <c r="E78"/>
      <c r="F78"/>
      <c r="G78"/>
      <c r="H78"/>
      <c r="I78"/>
      <c r="J78"/>
      <c r="K78"/>
      <c r="L78"/>
      <c r="M78"/>
      <c r="N78"/>
      <c r="O78"/>
      <c r="P78"/>
      <c r="Q78"/>
      <c r="R78"/>
      <c r="S78"/>
      <c r="T78"/>
      <c r="U78"/>
      <c r="V78"/>
      <c r="W78"/>
    </row>
    <row r="79" spans="1:96" ht="15.6">
      <c r="A79"/>
      <c r="B79"/>
      <c r="C79"/>
      <c r="D79"/>
      <c r="E79"/>
      <c r="F79"/>
      <c r="G79"/>
      <c r="H79"/>
      <c r="I79"/>
      <c r="J79"/>
      <c r="K79"/>
      <c r="L79"/>
      <c r="M79"/>
      <c r="N79"/>
      <c r="O79"/>
      <c r="P79"/>
      <c r="Q79"/>
      <c r="R79"/>
      <c r="S79"/>
      <c r="T79"/>
      <c r="U79"/>
      <c r="V79"/>
      <c r="W79"/>
    </row>
    <row r="80" spans="1:96" ht="15.6">
      <c r="A80"/>
      <c r="B80"/>
      <c r="C80"/>
      <c r="D80"/>
      <c r="E80"/>
      <c r="F80"/>
      <c r="G80"/>
      <c r="H80"/>
      <c r="I80"/>
      <c r="J80"/>
      <c r="K80"/>
      <c r="L80"/>
      <c r="M80"/>
      <c r="N80"/>
      <c r="O80"/>
      <c r="P80"/>
      <c r="Q80"/>
      <c r="R80"/>
      <c r="S80"/>
      <c r="T80"/>
      <c r="U80"/>
      <c r="V80"/>
      <c r="W80"/>
    </row>
    <row r="81" spans="1:23" ht="15.6">
      <c r="A81"/>
      <c r="B81"/>
      <c r="C81"/>
      <c r="D81"/>
      <c r="E81"/>
      <c r="F81"/>
      <c r="G81"/>
      <c r="H81"/>
      <c r="I81"/>
      <c r="J81"/>
      <c r="K81"/>
      <c r="L81"/>
      <c r="M81"/>
      <c r="N81"/>
      <c r="O81"/>
      <c r="P81"/>
      <c r="Q81"/>
      <c r="R81"/>
      <c r="S81"/>
      <c r="T81"/>
      <c r="U81"/>
      <c r="V81"/>
      <c r="W81"/>
    </row>
    <row r="82" spans="1:23" ht="15.6">
      <c r="A82"/>
      <c r="B82"/>
      <c r="C82"/>
      <c r="D82"/>
      <c r="E82"/>
      <c r="F82"/>
      <c r="G82"/>
      <c r="H82"/>
      <c r="I82"/>
      <c r="J82"/>
      <c r="K82"/>
      <c r="L82"/>
      <c r="M82"/>
      <c r="N82"/>
      <c r="O82"/>
      <c r="P82"/>
      <c r="Q82"/>
      <c r="R82"/>
      <c r="S82"/>
      <c r="T82"/>
      <c r="U82"/>
      <c r="V82"/>
      <c r="W82"/>
    </row>
    <row r="83" spans="1:23" ht="15.6">
      <c r="A83"/>
      <c r="B83"/>
      <c r="C83"/>
      <c r="D83"/>
      <c r="E83"/>
      <c r="F83"/>
      <c r="G83"/>
      <c r="H83"/>
      <c r="I83"/>
      <c r="J83"/>
      <c r="K83"/>
      <c r="L83"/>
      <c r="M83"/>
      <c r="N83"/>
      <c r="O83"/>
      <c r="P83"/>
      <c r="Q83"/>
      <c r="R83"/>
      <c r="S83"/>
      <c r="T83"/>
      <c r="U83"/>
      <c r="V83"/>
      <c r="W83"/>
    </row>
    <row r="84" spans="1:23" ht="15.6">
      <c r="A84"/>
      <c r="B84"/>
      <c r="C84"/>
      <c r="D84"/>
      <c r="E84"/>
      <c r="F84"/>
      <c r="G84"/>
      <c r="H84"/>
      <c r="I84"/>
      <c r="J84"/>
      <c r="K84"/>
      <c r="L84"/>
      <c r="M84"/>
      <c r="N84"/>
      <c r="O84"/>
      <c r="P84"/>
      <c r="Q84"/>
      <c r="R84"/>
      <c r="S84"/>
      <c r="T84"/>
      <c r="U84"/>
      <c r="V84"/>
      <c r="W84"/>
    </row>
    <row r="85" spans="1:23" ht="15.6">
      <c r="A85"/>
      <c r="B85"/>
      <c r="C85"/>
      <c r="D85"/>
      <c r="E85"/>
      <c r="F85"/>
      <c r="G85"/>
      <c r="H85"/>
      <c r="I85"/>
      <c r="J85"/>
      <c r="K85"/>
      <c r="L85"/>
      <c r="M85"/>
      <c r="N85"/>
      <c r="O85"/>
      <c r="P85"/>
      <c r="Q85"/>
      <c r="R85"/>
      <c r="S85"/>
      <c r="T85"/>
      <c r="U85"/>
      <c r="V85"/>
      <c r="W85"/>
    </row>
    <row r="86" spans="1:23" ht="15.6">
      <c r="A86"/>
      <c r="B86"/>
      <c r="C86"/>
      <c r="D86"/>
      <c r="E86"/>
      <c r="F86"/>
      <c r="G86"/>
      <c r="H86"/>
      <c r="I86"/>
      <c r="J86"/>
      <c r="K86"/>
      <c r="L86"/>
      <c r="M86"/>
      <c r="N86"/>
      <c r="O86"/>
      <c r="P86"/>
      <c r="Q86"/>
      <c r="R86"/>
      <c r="S86"/>
      <c r="T86"/>
      <c r="U86"/>
      <c r="V86"/>
      <c r="W86"/>
    </row>
    <row r="87" spans="1:23" ht="15.6">
      <c r="A87"/>
      <c r="B87"/>
      <c r="C87"/>
      <c r="D87"/>
      <c r="E87"/>
      <c r="F87"/>
      <c r="G87"/>
      <c r="H87"/>
      <c r="I87"/>
      <c r="J87"/>
      <c r="K87"/>
      <c r="L87"/>
      <c r="M87"/>
      <c r="N87"/>
      <c r="O87"/>
      <c r="P87"/>
      <c r="Q87"/>
      <c r="R87"/>
      <c r="S87"/>
      <c r="T87"/>
      <c r="U87"/>
      <c r="V87"/>
      <c r="W87"/>
    </row>
    <row r="88" spans="1:23" ht="15.6">
      <c r="A88"/>
      <c r="B88"/>
      <c r="C88"/>
      <c r="D88"/>
      <c r="E88"/>
      <c r="F88"/>
      <c r="G88"/>
      <c r="H88"/>
      <c r="I88"/>
      <c r="J88"/>
      <c r="K88"/>
      <c r="L88"/>
      <c r="M88"/>
      <c r="N88"/>
      <c r="O88"/>
      <c r="P88"/>
      <c r="Q88"/>
      <c r="R88"/>
      <c r="S88"/>
      <c r="T88"/>
      <c r="U88"/>
      <c r="V88"/>
      <c r="W88"/>
    </row>
    <row r="89" spans="1:23" ht="15.6">
      <c r="A89"/>
      <c r="B89"/>
      <c r="C89"/>
      <c r="D89"/>
      <c r="E89"/>
      <c r="F89"/>
      <c r="G89"/>
      <c r="H89"/>
      <c r="I89"/>
      <c r="J89"/>
      <c r="K89"/>
      <c r="L89"/>
      <c r="M89"/>
      <c r="N89"/>
      <c r="O89"/>
      <c r="P89"/>
      <c r="Q89"/>
      <c r="R89"/>
      <c r="S89"/>
      <c r="T89"/>
      <c r="U89"/>
      <c r="V89"/>
      <c r="W89"/>
    </row>
    <row r="90" spans="1:23" ht="15.6">
      <c r="A90"/>
      <c r="B90"/>
      <c r="C90"/>
      <c r="D90"/>
      <c r="E90"/>
      <c r="F90"/>
      <c r="G90"/>
      <c r="H90"/>
      <c r="I90"/>
      <c r="J90"/>
      <c r="K90"/>
      <c r="L90"/>
      <c r="M90"/>
      <c r="N90"/>
      <c r="O90"/>
      <c r="P90"/>
      <c r="Q90"/>
      <c r="R90"/>
      <c r="S90"/>
      <c r="T90"/>
      <c r="U90"/>
      <c r="V90"/>
      <c r="W90"/>
    </row>
    <row r="91" spans="1:23" ht="15.6">
      <c r="A91"/>
      <c r="B91"/>
      <c r="C91"/>
      <c r="D91"/>
      <c r="E91"/>
      <c r="F91"/>
      <c r="G91"/>
      <c r="H91"/>
      <c r="I91"/>
      <c r="J91"/>
      <c r="K91"/>
      <c r="L91"/>
      <c r="M91"/>
      <c r="N91"/>
      <c r="O91"/>
      <c r="P91"/>
      <c r="Q91"/>
      <c r="R91"/>
      <c r="S91"/>
      <c r="T91"/>
      <c r="U91"/>
      <c r="V91"/>
      <c r="W91"/>
    </row>
    <row r="92" spans="1:23" ht="15.6">
      <c r="A92"/>
      <c r="B92"/>
      <c r="C92"/>
      <c r="D92"/>
      <c r="E92"/>
      <c r="F92"/>
      <c r="G92"/>
      <c r="H92"/>
      <c r="I92"/>
      <c r="J92"/>
      <c r="K92"/>
      <c r="L92"/>
      <c r="M92"/>
      <c r="N92"/>
      <c r="O92"/>
      <c r="P92"/>
      <c r="Q92"/>
      <c r="R92"/>
      <c r="S92"/>
      <c r="T92"/>
      <c r="U92"/>
      <c r="V92"/>
      <c r="W92"/>
    </row>
    <row r="93" spans="1:23" ht="15.6">
      <c r="A93"/>
      <c r="B93"/>
      <c r="C93"/>
      <c r="D93"/>
      <c r="E93"/>
      <c r="F93"/>
      <c r="G93"/>
      <c r="H93"/>
      <c r="I93"/>
      <c r="J93"/>
      <c r="K93"/>
      <c r="L93"/>
      <c r="M93"/>
      <c r="N93"/>
      <c r="O93"/>
      <c r="P93"/>
      <c r="Q93"/>
      <c r="R93"/>
      <c r="S93"/>
      <c r="T93"/>
      <c r="U93"/>
      <c r="V93"/>
      <c r="W93"/>
    </row>
    <row r="94" spans="1:23" ht="15.6">
      <c r="A94"/>
      <c r="B94"/>
      <c r="C94"/>
      <c r="D94"/>
      <c r="E94"/>
      <c r="F94"/>
      <c r="G94"/>
      <c r="H94"/>
      <c r="I94"/>
      <c r="J94"/>
      <c r="K94"/>
      <c r="L94"/>
      <c r="M94"/>
      <c r="N94"/>
      <c r="O94"/>
      <c r="P94"/>
      <c r="Q94"/>
      <c r="R94"/>
      <c r="S94"/>
      <c r="T94"/>
      <c r="U94"/>
      <c r="V94"/>
      <c r="W94"/>
    </row>
  </sheetData>
  <mergeCells count="61">
    <mergeCell ref="C42:D42"/>
    <mergeCell ref="E42:F42"/>
    <mergeCell ref="G42:H42"/>
    <mergeCell ref="I42:J42"/>
    <mergeCell ref="S42:T42"/>
    <mergeCell ref="K42:L42"/>
    <mergeCell ref="M42:N42"/>
    <mergeCell ref="O42:P42"/>
    <mergeCell ref="Q42:R42"/>
    <mergeCell ref="M40:N40"/>
    <mergeCell ref="O40:P40"/>
    <mergeCell ref="Q40:R40"/>
    <mergeCell ref="S40:T40"/>
    <mergeCell ref="C41:D41"/>
    <mergeCell ref="E41:F41"/>
    <mergeCell ref="G41:H41"/>
    <mergeCell ref="I41:J41"/>
    <mergeCell ref="K41:L41"/>
    <mergeCell ref="M41:N41"/>
    <mergeCell ref="O41:P41"/>
    <mergeCell ref="Q41:R41"/>
    <mergeCell ref="S41:T41"/>
    <mergeCell ref="C40:D40"/>
    <mergeCell ref="E40:F40"/>
    <mergeCell ref="G40:H40"/>
    <mergeCell ref="I40:J40"/>
    <mergeCell ref="K40:L40"/>
    <mergeCell ref="M11:N11"/>
    <mergeCell ref="O11:P11"/>
    <mergeCell ref="Q11:R11"/>
    <mergeCell ref="S11:T11"/>
    <mergeCell ref="C12:D12"/>
    <mergeCell ref="E12:F12"/>
    <mergeCell ref="G12:H12"/>
    <mergeCell ref="I12:J12"/>
    <mergeCell ref="K12:L12"/>
    <mergeCell ref="M12:N12"/>
    <mergeCell ref="O12:P12"/>
    <mergeCell ref="Q12:R12"/>
    <mergeCell ref="S12:T12"/>
    <mergeCell ref="C11:D11"/>
    <mergeCell ref="E11:F11"/>
    <mergeCell ref="G11:H11"/>
    <mergeCell ref="I11:J11"/>
    <mergeCell ref="K11:L1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s>
  <phoneticPr fontId="54" type="noConversion"/>
  <pageMargins left="0.47" right="0.35" top="0.48" bottom="0.38" header="0" footer="0.25"/>
  <pageSetup scale="94" fitToHeight="2" orientation="landscape" horizontalDpi="4294967292" verticalDpi="300" r:id="rId1"/>
  <headerFooter alignWithMargins="0">
    <oddFooter>Page &amp;P of &amp;N</oddFooter>
  </headerFooter>
  <rowBreaks count="1" manualBreakCount="1">
    <brk id="35"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3"/>
  <dimension ref="A1:CR73"/>
  <sheetViews>
    <sheetView showGridLines="0" showZeros="0" defaultGridColor="0" colorId="8" zoomScaleNormal="100" zoomScaleSheetLayoutView="50" workbookViewId="0"/>
  </sheetViews>
  <sheetFormatPr defaultColWidth="0" defaultRowHeight="10.15"/>
  <cols>
    <col min="1" max="1" width="37.75" style="725" customWidth="1"/>
    <col min="2" max="2" width="3" style="729" customWidth="1"/>
    <col min="3" max="3" width="4.125" style="725" customWidth="1"/>
    <col min="4" max="4" width="4.5" style="725" customWidth="1"/>
    <col min="5" max="5" width="4.125" style="725" customWidth="1"/>
    <col min="6" max="6" width="4.5" style="725" customWidth="1"/>
    <col min="7" max="7" width="4.125" style="725" customWidth="1"/>
    <col min="8" max="8" width="4.5" style="725" customWidth="1"/>
    <col min="9" max="9" width="4.125" style="725" customWidth="1"/>
    <col min="10" max="10" width="4.5" style="725" customWidth="1"/>
    <col min="11" max="11" width="4.125" style="725" customWidth="1"/>
    <col min="12" max="12" width="4.5" style="725" customWidth="1"/>
    <col min="13" max="14" width="5.125" style="725" customWidth="1"/>
    <col min="15" max="15" width="4.125" style="725" customWidth="1"/>
    <col min="16" max="20" width="4.5" style="725" customWidth="1"/>
    <col min="21" max="23" width="5.625" style="726" customWidth="1"/>
    <col min="24" max="24" width="1.875" style="725" customWidth="1"/>
    <col min="25" max="53" width="6.625" style="725" hidden="1" customWidth="1"/>
    <col min="54" max="16384" width="0" style="725" hidden="1"/>
  </cols>
  <sheetData>
    <row r="1" spans="1:96" s="717" customFormat="1" ht="28.15" thickBot="1">
      <c r="A1" s="814" t="str">
        <f>'99'!A1</f>
        <v>FALL ENROLLMENT 2021</v>
      </c>
      <c r="B1" s="716"/>
      <c r="C1" s="716"/>
      <c r="D1" s="716"/>
      <c r="E1" s="716"/>
      <c r="F1" s="716"/>
      <c r="G1" s="716"/>
      <c r="H1" s="716"/>
      <c r="I1" s="716"/>
      <c r="J1" s="716"/>
      <c r="K1" s="716"/>
      <c r="L1" s="716"/>
      <c r="M1" s="716"/>
      <c r="N1" s="716"/>
      <c r="O1" s="716"/>
      <c r="P1" s="716"/>
      <c r="Q1" s="716"/>
      <c r="R1" s="716"/>
      <c r="S1" s="716"/>
      <c r="T1" s="716"/>
      <c r="U1" s="716"/>
      <c r="V1" s="716"/>
      <c r="W1" s="716"/>
      <c r="X1" s="251">
        <f>IF(COUNT(C18:P25,C28:P29,C32:P34,C48:P55,C58:P59,C62:P64)&gt;0,1,0)</f>
        <v>1</v>
      </c>
    </row>
    <row r="2" spans="1:96" s="718" customFormat="1" ht="10.9" thickTop="1">
      <c r="A2" s="249" t="str">
        <f>+'99'!A2</f>
        <v>2122</v>
      </c>
      <c r="B2" s="1014" t="s">
        <v>181</v>
      </c>
      <c r="C2" s="1015"/>
      <c r="D2" s="1015"/>
      <c r="E2" s="1015"/>
      <c r="F2" s="1015"/>
      <c r="G2" s="1015"/>
      <c r="H2" s="1015"/>
      <c r="I2" s="1015"/>
      <c r="J2" s="1016"/>
    </row>
    <row r="3" spans="1:96" s="717" customFormat="1" ht="13.9" thickBot="1">
      <c r="A3" s="30" t="str">
        <f>+Cover!$A$8</f>
        <v>Western Connecticut State University</v>
      </c>
      <c r="B3" s="1017"/>
      <c r="C3" s="1018"/>
      <c r="D3" s="1018"/>
      <c r="E3" s="1018"/>
      <c r="F3" s="1018"/>
      <c r="G3" s="1018"/>
      <c r="H3" s="1018"/>
      <c r="I3" s="1018"/>
      <c r="J3" s="1019"/>
      <c r="K3" s="719" t="s">
        <v>48</v>
      </c>
      <c r="M3" s="720"/>
      <c r="N3" s="721" t="str">
        <f>+Cover!$A$10</f>
        <v>Jerry Wilcox</v>
      </c>
      <c r="O3" s="722"/>
      <c r="P3" s="723"/>
      <c r="Q3" s="723"/>
      <c r="R3" s="723"/>
      <c r="S3" s="723"/>
      <c r="T3" s="723"/>
      <c r="U3" s="722"/>
    </row>
    <row r="4" spans="1:96" s="717" customFormat="1" ht="13.9" thickBot="1">
      <c r="A4" s="31">
        <f>+Cover!$B$8</f>
        <v>130776</v>
      </c>
      <c r="B4" s="1017"/>
      <c r="C4" s="1018"/>
      <c r="D4" s="1018"/>
      <c r="E4" s="1018"/>
      <c r="F4" s="1018"/>
      <c r="G4" s="1018"/>
      <c r="H4" s="1018"/>
      <c r="I4" s="1018"/>
      <c r="J4" s="1019"/>
      <c r="K4" s="719" t="s">
        <v>49</v>
      </c>
      <c r="M4" s="250"/>
      <c r="N4" s="721" t="str">
        <f>+Cover!$B$10</f>
        <v>Director, Institutional Research and Assessment</v>
      </c>
      <c r="O4" s="722"/>
      <c r="P4" s="723"/>
      <c r="Q4" s="723"/>
      <c r="R4" s="723"/>
      <c r="S4" s="723"/>
      <c r="T4" s="723"/>
      <c r="U4" s="722"/>
    </row>
    <row r="5" spans="1:96" s="717" customFormat="1" ht="16.149999999999999" thickBot="1">
      <c r="A5" s="32" t="str">
        <f>+Cover!$C$8</f>
        <v>Danbury</v>
      </c>
      <c r="B5" s="1017"/>
      <c r="C5" s="1018"/>
      <c r="D5" s="1018"/>
      <c r="E5" s="1018"/>
      <c r="F5" s="1018"/>
      <c r="G5" s="1018"/>
      <c r="H5" s="1018"/>
      <c r="I5" s="1018"/>
      <c r="J5" s="1019"/>
      <c r="K5" s="719" t="s">
        <v>50</v>
      </c>
      <c r="M5" s="250"/>
      <c r="N5" s="1013" t="str">
        <f>+Cover!$C$10</f>
        <v>203-837-8242</v>
      </c>
      <c r="O5" s="1156"/>
      <c r="P5" s="1157"/>
      <c r="Q5" s="942"/>
      <c r="R5" s="942"/>
      <c r="S5" s="942"/>
      <c r="T5" s="942"/>
      <c r="U5" s="722"/>
    </row>
    <row r="6" spans="1:96" ht="10.5" customHeight="1" thickBot="1">
      <c r="A6" s="724"/>
      <c r="B6" s="1020"/>
      <c r="C6" s="1021"/>
      <c r="D6" s="1021"/>
      <c r="E6" s="1021"/>
      <c r="F6" s="1021"/>
      <c r="G6" s="1021"/>
      <c r="H6" s="1021"/>
      <c r="I6" s="1021"/>
      <c r="J6" s="1022"/>
      <c r="L6" s="250"/>
      <c r="N6" s="250"/>
      <c r="P6" s="250"/>
      <c r="Q6" s="250"/>
      <c r="R6" s="250"/>
      <c r="S6" s="250"/>
      <c r="T6" s="250"/>
      <c r="V6" s="727"/>
      <c r="W6" s="727"/>
    </row>
    <row r="7" spans="1:96" ht="21" thickTop="1">
      <c r="A7" s="728" t="s">
        <v>182</v>
      </c>
    </row>
    <row r="8" spans="1:96">
      <c r="A8" s="724" t="s">
        <v>52</v>
      </c>
    </row>
    <row r="9" spans="1:96" s="730" customFormat="1" ht="9" customHeight="1">
      <c r="B9" s="731"/>
      <c r="C9" s="732"/>
      <c r="D9" s="732"/>
      <c r="E9" s="732"/>
      <c r="F9" s="732"/>
      <c r="G9" s="732"/>
      <c r="H9" s="732"/>
      <c r="I9" s="732"/>
      <c r="J9" s="732"/>
      <c r="K9" s="732"/>
      <c r="L9" s="732"/>
      <c r="M9" s="732"/>
      <c r="N9" s="732"/>
      <c r="O9" s="732"/>
      <c r="P9" s="732"/>
      <c r="Q9" s="732"/>
      <c r="R9" s="732"/>
      <c r="S9" s="732"/>
      <c r="T9" s="732"/>
      <c r="U9" s="732"/>
      <c r="V9" s="732"/>
      <c r="W9" s="720"/>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5"/>
      <c r="AY9" s="725"/>
      <c r="AZ9" s="725"/>
      <c r="BA9" s="725"/>
      <c r="BB9" s="725"/>
      <c r="BC9" s="725"/>
      <c r="BD9" s="725"/>
      <c r="BE9" s="725"/>
      <c r="BF9" s="725"/>
      <c r="BG9" s="725"/>
      <c r="BH9" s="725"/>
      <c r="BI9" s="725"/>
      <c r="BJ9" s="725"/>
      <c r="BK9" s="725"/>
      <c r="BL9" s="725"/>
      <c r="BM9" s="725"/>
      <c r="BN9" s="725"/>
      <c r="BO9" s="725"/>
      <c r="BP9" s="725"/>
      <c r="BQ9" s="725"/>
      <c r="BR9" s="725"/>
      <c r="BS9" s="725"/>
      <c r="BT9" s="725"/>
      <c r="BU9" s="725"/>
      <c r="BV9" s="725"/>
      <c r="BW9" s="725"/>
      <c r="BX9" s="725"/>
      <c r="BY9" s="725"/>
      <c r="BZ9" s="725"/>
      <c r="CA9" s="725"/>
      <c r="CB9" s="725"/>
      <c r="CC9" s="725"/>
      <c r="CD9" s="725"/>
      <c r="CE9" s="725"/>
      <c r="CF9" s="725"/>
      <c r="CG9" s="725"/>
      <c r="CH9" s="725"/>
      <c r="CI9" s="725"/>
      <c r="CJ9" s="725"/>
      <c r="CK9" s="725"/>
      <c r="CL9" s="725"/>
      <c r="CM9" s="725"/>
      <c r="CN9" s="725"/>
      <c r="CO9" s="725"/>
      <c r="CP9" s="725"/>
      <c r="CQ9" s="725"/>
      <c r="CR9" s="725"/>
    </row>
    <row r="10" spans="1:96">
      <c r="A10" s="999" t="s">
        <v>183</v>
      </c>
      <c r="B10" s="36"/>
      <c r="C10" s="991" t="s">
        <v>54</v>
      </c>
      <c r="D10" s="992"/>
      <c r="E10" s="991" t="s">
        <v>55</v>
      </c>
      <c r="F10" s="992"/>
      <c r="G10" s="991" t="s">
        <v>56</v>
      </c>
      <c r="H10" s="992"/>
      <c r="I10" s="991"/>
      <c r="J10" s="992"/>
      <c r="K10" s="991" t="s">
        <v>57</v>
      </c>
      <c r="L10" s="992"/>
      <c r="M10" s="991"/>
      <c r="N10" s="992"/>
      <c r="O10" s="991" t="s">
        <v>58</v>
      </c>
      <c r="P10" s="992"/>
      <c r="Q10" s="991" t="s">
        <v>59</v>
      </c>
      <c r="R10" s="992"/>
      <c r="S10" s="991" t="s">
        <v>60</v>
      </c>
      <c r="T10" s="992"/>
      <c r="U10" s="59" t="s">
        <v>61</v>
      </c>
      <c r="V10" s="60"/>
      <c r="W10" s="61"/>
    </row>
    <row r="11" spans="1:96">
      <c r="A11" s="1000"/>
      <c r="B11" s="20"/>
      <c r="C11" s="993" t="s">
        <v>62</v>
      </c>
      <c r="D11" s="994"/>
      <c r="E11" s="993" t="s">
        <v>63</v>
      </c>
      <c r="F11" s="994"/>
      <c r="G11" s="993" t="s">
        <v>64</v>
      </c>
      <c r="H11" s="994"/>
      <c r="I11" s="993" t="s">
        <v>65</v>
      </c>
      <c r="J11" s="994"/>
      <c r="K11" s="993" t="s">
        <v>66</v>
      </c>
      <c r="L11" s="994"/>
      <c r="M11" s="993" t="s">
        <v>67</v>
      </c>
      <c r="N11" s="994"/>
      <c r="O11" s="993" t="s">
        <v>68</v>
      </c>
      <c r="P11" s="994"/>
      <c r="Q11" s="993" t="s">
        <v>69</v>
      </c>
      <c r="R11" s="994"/>
      <c r="S11" s="993" t="s">
        <v>70</v>
      </c>
      <c r="T11" s="994"/>
      <c r="U11" s="62" t="s">
        <v>71</v>
      </c>
      <c r="V11" s="63"/>
      <c r="W11" s="64"/>
    </row>
    <row r="12" spans="1:96" s="730" customFormat="1" ht="12" customHeight="1">
      <c r="A12" s="1001">
        <v>900000</v>
      </c>
      <c r="B12" s="20"/>
      <c r="C12" s="995" t="s">
        <v>73</v>
      </c>
      <c r="D12" s="996"/>
      <c r="E12" s="995" t="s">
        <v>56</v>
      </c>
      <c r="F12" s="996"/>
      <c r="G12" s="995" t="s">
        <v>74</v>
      </c>
      <c r="H12" s="996"/>
      <c r="I12" s="995"/>
      <c r="J12" s="996"/>
      <c r="K12" s="995" t="s">
        <v>75</v>
      </c>
      <c r="L12" s="996"/>
      <c r="M12" s="995"/>
      <c r="N12" s="996"/>
      <c r="O12" s="995" t="s">
        <v>76</v>
      </c>
      <c r="P12" s="996"/>
      <c r="Q12" s="995" t="s">
        <v>77</v>
      </c>
      <c r="R12" s="996"/>
      <c r="S12" s="995" t="s">
        <v>78</v>
      </c>
      <c r="T12" s="996"/>
      <c r="U12" s="65" t="s">
        <v>79</v>
      </c>
      <c r="V12" s="66"/>
      <c r="W12" s="67"/>
      <c r="X12" s="725"/>
      <c r="Y12" s="725"/>
      <c r="Z12" s="725"/>
      <c r="AA12" s="725"/>
      <c r="AB12" s="725"/>
      <c r="AC12" s="725"/>
      <c r="AD12" s="725"/>
      <c r="AE12" s="725"/>
      <c r="AF12" s="725"/>
      <c r="AG12" s="725"/>
      <c r="AH12" s="725"/>
      <c r="AI12" s="725"/>
      <c r="AJ12" s="725"/>
      <c r="AK12" s="725"/>
      <c r="AL12" s="725"/>
      <c r="AM12" s="725"/>
      <c r="AN12" s="725"/>
      <c r="AO12" s="725"/>
      <c r="AP12" s="725"/>
      <c r="AQ12" s="725"/>
      <c r="AR12" s="725"/>
      <c r="AS12" s="725"/>
      <c r="AT12" s="725"/>
      <c r="AU12" s="725"/>
      <c r="AV12" s="725"/>
      <c r="AW12" s="725"/>
      <c r="AX12" s="725"/>
      <c r="AY12" s="725"/>
      <c r="AZ12" s="725"/>
      <c r="BA12" s="725"/>
      <c r="BB12" s="725"/>
      <c r="BC12" s="725"/>
      <c r="BD12" s="725"/>
      <c r="BE12" s="725"/>
      <c r="BF12" s="725"/>
      <c r="BG12" s="725"/>
      <c r="BH12" s="725"/>
      <c r="BI12" s="725"/>
      <c r="BJ12" s="725"/>
      <c r="BK12" s="725"/>
      <c r="BL12" s="725"/>
      <c r="BM12" s="725"/>
      <c r="BN12" s="725"/>
      <c r="BO12" s="725"/>
      <c r="BP12" s="725"/>
      <c r="BQ12" s="725"/>
      <c r="BR12" s="725"/>
      <c r="BS12" s="725"/>
      <c r="BT12" s="725"/>
      <c r="BU12" s="725"/>
      <c r="BV12" s="725"/>
      <c r="BW12" s="725"/>
      <c r="BX12" s="725"/>
      <c r="BY12" s="725"/>
      <c r="BZ12" s="725"/>
      <c r="CA12" s="725"/>
      <c r="CB12" s="725"/>
      <c r="CC12" s="725"/>
      <c r="CD12" s="725"/>
      <c r="CE12" s="725"/>
      <c r="CF12" s="725"/>
      <c r="CG12" s="725"/>
      <c r="CH12" s="725"/>
      <c r="CI12" s="725"/>
      <c r="CJ12" s="725"/>
      <c r="CK12" s="725"/>
      <c r="CL12" s="725"/>
      <c r="CM12" s="725"/>
      <c r="CN12" s="725"/>
      <c r="CO12" s="725"/>
      <c r="CP12" s="725"/>
      <c r="CQ12" s="725"/>
      <c r="CR12" s="725"/>
    </row>
    <row r="13" spans="1:96">
      <c r="A13" s="1154"/>
      <c r="B13" s="20" t="s">
        <v>80</v>
      </c>
      <c r="C13" s="68" t="s">
        <v>81</v>
      </c>
      <c r="D13" s="23" t="s">
        <v>82</v>
      </c>
      <c r="E13" s="68" t="s">
        <v>81</v>
      </c>
      <c r="F13" s="23" t="s">
        <v>82</v>
      </c>
      <c r="G13" s="68" t="s">
        <v>81</v>
      </c>
      <c r="H13" s="23" t="s">
        <v>82</v>
      </c>
      <c r="I13" s="68" t="s">
        <v>81</v>
      </c>
      <c r="J13" s="23" t="s">
        <v>82</v>
      </c>
      <c r="K13" s="68" t="s">
        <v>81</v>
      </c>
      <c r="L13" s="23" t="s">
        <v>82</v>
      </c>
      <c r="M13" s="68" t="s">
        <v>81</v>
      </c>
      <c r="N13" s="23" t="s">
        <v>82</v>
      </c>
      <c r="O13" s="68" t="s">
        <v>81</v>
      </c>
      <c r="P13" s="23" t="s">
        <v>82</v>
      </c>
      <c r="Q13" s="68" t="s">
        <v>81</v>
      </c>
      <c r="R13" s="23" t="s">
        <v>82</v>
      </c>
      <c r="S13" s="68" t="s">
        <v>81</v>
      </c>
      <c r="T13" s="23" t="s">
        <v>82</v>
      </c>
      <c r="U13" s="69" t="s">
        <v>81</v>
      </c>
      <c r="V13" s="21" t="s">
        <v>82</v>
      </c>
      <c r="W13" s="21" t="s">
        <v>83</v>
      </c>
    </row>
    <row r="14" spans="1:96" s="730" customFormat="1" ht="14.25" customHeight="1">
      <c r="A14" s="601" t="s">
        <v>84</v>
      </c>
      <c r="B14" s="20" t="s">
        <v>85</v>
      </c>
      <c r="C14" s="70" t="s">
        <v>86</v>
      </c>
      <c r="D14" s="70" t="s">
        <v>87</v>
      </c>
      <c r="E14" s="70" t="s">
        <v>88</v>
      </c>
      <c r="F14" s="70" t="s">
        <v>89</v>
      </c>
      <c r="G14" s="70" t="s">
        <v>90</v>
      </c>
      <c r="H14" s="70" t="s">
        <v>91</v>
      </c>
      <c r="I14" s="70" t="s">
        <v>92</v>
      </c>
      <c r="J14" s="70" t="s">
        <v>93</v>
      </c>
      <c r="K14" s="70" t="s">
        <v>94</v>
      </c>
      <c r="L14" s="70" t="s">
        <v>95</v>
      </c>
      <c r="M14" s="70" t="s">
        <v>96</v>
      </c>
      <c r="N14" s="70" t="s">
        <v>97</v>
      </c>
      <c r="O14" s="70" t="s">
        <v>98</v>
      </c>
      <c r="P14" s="70" t="s">
        <v>99</v>
      </c>
      <c r="Q14" s="70" t="s">
        <v>100</v>
      </c>
      <c r="R14" s="70" t="s">
        <v>101</v>
      </c>
      <c r="S14" s="70" t="s">
        <v>102</v>
      </c>
      <c r="T14" s="70" t="s">
        <v>103</v>
      </c>
      <c r="U14" s="71" t="s">
        <v>104</v>
      </c>
      <c r="V14" s="71" t="s">
        <v>105</v>
      </c>
      <c r="W14" s="71" t="s">
        <v>106</v>
      </c>
      <c r="X14" s="725"/>
      <c r="Y14" s="725"/>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5"/>
      <c r="AV14" s="725"/>
      <c r="AW14" s="725"/>
      <c r="AX14" s="725"/>
      <c r="AY14" s="725"/>
      <c r="AZ14" s="725"/>
      <c r="BA14" s="725"/>
      <c r="BB14" s="725"/>
      <c r="BC14" s="725"/>
      <c r="BD14" s="725"/>
      <c r="BE14" s="725"/>
      <c r="BF14" s="725"/>
      <c r="BG14" s="725"/>
      <c r="BH14" s="725"/>
      <c r="BI14" s="725"/>
      <c r="BJ14" s="725"/>
      <c r="BK14" s="725"/>
      <c r="BL14" s="725"/>
      <c r="BM14" s="725"/>
      <c r="BN14" s="725"/>
      <c r="BO14" s="725"/>
      <c r="BP14" s="725"/>
      <c r="BQ14" s="725"/>
      <c r="BR14" s="725"/>
      <c r="BS14" s="725"/>
      <c r="BT14" s="725"/>
      <c r="BU14" s="725"/>
      <c r="BV14" s="725"/>
      <c r="BW14" s="725"/>
      <c r="BX14" s="725"/>
      <c r="BY14" s="725"/>
      <c r="BZ14" s="725"/>
      <c r="CA14" s="725"/>
      <c r="CB14" s="725"/>
      <c r="CC14" s="725"/>
      <c r="CD14" s="725"/>
      <c r="CE14" s="725"/>
      <c r="CF14" s="725"/>
      <c r="CG14" s="725"/>
      <c r="CH14" s="725"/>
      <c r="CI14" s="725"/>
      <c r="CJ14" s="725"/>
      <c r="CK14" s="725"/>
      <c r="CL14" s="725"/>
      <c r="CM14" s="725"/>
      <c r="CN14" s="725"/>
      <c r="CO14" s="725"/>
      <c r="CP14" s="725"/>
      <c r="CQ14" s="725"/>
      <c r="CR14" s="725"/>
    </row>
    <row r="15" spans="1:96" s="730" customFormat="1" ht="25.5" customHeight="1">
      <c r="A15" s="987" t="s">
        <v>107</v>
      </c>
      <c r="B15" s="988"/>
      <c r="C15" s="988"/>
      <c r="D15" s="988"/>
      <c r="E15" s="988"/>
      <c r="F15" s="988"/>
      <c r="G15" s="988"/>
      <c r="H15" s="988"/>
      <c r="I15" s="988"/>
      <c r="J15" s="988"/>
      <c r="K15" s="988"/>
      <c r="L15" s="988"/>
      <c r="M15" s="988"/>
      <c r="N15" s="988"/>
      <c r="O15" s="988"/>
      <c r="P15" s="988"/>
      <c r="Q15" s="988"/>
      <c r="R15" s="988"/>
      <c r="S15" s="988"/>
      <c r="T15" s="988"/>
      <c r="U15" s="988"/>
      <c r="V15" s="988"/>
      <c r="W15" s="989"/>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25"/>
      <c r="AY15" s="725"/>
      <c r="AZ15" s="725"/>
      <c r="BA15" s="725"/>
      <c r="BB15" s="725"/>
      <c r="BC15" s="725"/>
      <c r="BD15" s="725"/>
      <c r="BE15" s="725"/>
      <c r="BF15" s="725"/>
      <c r="BG15" s="725"/>
      <c r="BH15" s="725"/>
      <c r="BI15" s="725"/>
      <c r="BJ15" s="725"/>
      <c r="BK15" s="725"/>
      <c r="BL15" s="725"/>
      <c r="BM15" s="725"/>
      <c r="BN15" s="725"/>
      <c r="BO15" s="725"/>
      <c r="BP15" s="725"/>
      <c r="BQ15" s="725"/>
      <c r="BR15" s="725"/>
      <c r="BS15" s="725"/>
      <c r="BT15" s="725"/>
      <c r="BU15" s="725"/>
      <c r="BV15" s="725"/>
      <c r="BW15" s="725"/>
      <c r="BX15" s="725"/>
      <c r="BY15" s="725"/>
      <c r="BZ15" s="725"/>
      <c r="CA15" s="725"/>
      <c r="CB15" s="725"/>
      <c r="CC15" s="725"/>
      <c r="CD15" s="725"/>
      <c r="CE15" s="725"/>
      <c r="CF15" s="725"/>
      <c r="CG15" s="725"/>
      <c r="CH15" s="725"/>
      <c r="CI15" s="725"/>
      <c r="CJ15" s="725"/>
      <c r="CK15" s="725"/>
      <c r="CL15" s="725"/>
      <c r="CM15" s="725"/>
      <c r="CN15" s="725"/>
      <c r="CO15" s="725"/>
      <c r="CP15" s="725"/>
      <c r="CQ15" s="725"/>
      <c r="CR15" s="725"/>
    </row>
    <row r="16" spans="1:96" ht="17.45">
      <c r="A16" s="548" t="s">
        <v>108</v>
      </c>
      <c r="B16" s="733"/>
      <c r="C16" s="734"/>
      <c r="D16" s="734"/>
      <c r="E16" s="734"/>
      <c r="F16" s="734"/>
      <c r="G16" s="734"/>
      <c r="H16" s="734"/>
      <c r="I16" s="734"/>
      <c r="J16" s="734"/>
      <c r="K16" s="734"/>
      <c r="L16" s="734"/>
      <c r="M16" s="734"/>
      <c r="N16" s="734"/>
      <c r="O16" s="734"/>
      <c r="P16" s="734"/>
      <c r="Q16" s="734"/>
      <c r="R16" s="734"/>
      <c r="S16" s="734"/>
      <c r="T16" s="734"/>
      <c r="U16" s="735"/>
      <c r="V16" s="735"/>
      <c r="W16" s="21"/>
    </row>
    <row r="17" spans="1:96" ht="13.15">
      <c r="A17" s="37" t="s">
        <v>109</v>
      </c>
      <c r="B17" s="736"/>
      <c r="C17" s="737"/>
      <c r="D17" s="737"/>
      <c r="E17" s="737"/>
      <c r="F17" s="737"/>
      <c r="G17" s="737"/>
      <c r="H17" s="737"/>
      <c r="I17" s="737"/>
      <c r="J17" s="737"/>
      <c r="K17" s="737"/>
      <c r="L17" s="737"/>
      <c r="M17" s="737"/>
      <c r="N17" s="737"/>
      <c r="O17" s="737"/>
      <c r="P17" s="737"/>
      <c r="Q17" s="737"/>
      <c r="R17" s="737"/>
      <c r="S17" s="737"/>
      <c r="T17" s="737"/>
      <c r="U17" s="738"/>
      <c r="V17" s="738"/>
      <c r="W17" s="739"/>
    </row>
    <row r="18" spans="1:96" s="730" customFormat="1" ht="14.1" customHeight="1">
      <c r="A18" s="823" t="s">
        <v>110</v>
      </c>
      <c r="B18" s="34" t="s">
        <v>111</v>
      </c>
      <c r="C18" s="286">
        <f>+'99'!C18-('13'!C18+'14'!C18+Law!C18+'26'!C18+'27'!C18+'40'!C18+Den!C18+Med!C18+'52'!C18)</f>
        <v>0</v>
      </c>
      <c r="D18" s="286">
        <f>+'99'!D18-('13'!D18+'14'!D18+Law!D18+'26'!D18+'27'!D18+'40'!D18+Den!D18+Med!D18+'52'!D18)</f>
        <v>0</v>
      </c>
      <c r="E18" s="286">
        <f>+'99'!E18-('13'!E18+'14'!E18+Law!E18+'26'!E18+'27'!E18+'40'!E18+Den!E18+Med!E18+'52'!E18)</f>
        <v>26</v>
      </c>
      <c r="F18" s="286">
        <f>+'99'!F18-('13'!F18+'14'!F18+Law!F18+'26'!F18+'27'!F18+'40'!F18+Den!F18+Med!F18+'52'!F18)</f>
        <v>27</v>
      </c>
      <c r="G18" s="286">
        <f>+'99'!G18-('13'!G18+'14'!G18+Law!G18+'26'!G18+'27'!G18+'40'!G18+Den!G18+Med!G18+'52'!G18)</f>
        <v>0</v>
      </c>
      <c r="H18" s="286">
        <f>+'99'!H18-('13'!H18+'14'!H18+Law!H18+'26'!H18+'27'!H18+'40'!H18+Den!H18+Med!H18+'52'!H18)</f>
        <v>2</v>
      </c>
      <c r="I18" s="286">
        <f>+'99'!I18-('13'!I18+'14'!I18+Law!I18+'26'!I18+'27'!I18+'40'!I18+Den!I18+Med!I18+'52'!I18)</f>
        <v>13</v>
      </c>
      <c r="J18" s="286">
        <f>+'99'!J18-('13'!J18+'14'!J18+Law!J18+'26'!J18+'27'!J18+'40'!J18+Den!J18+Med!J18+'52'!J18)</f>
        <v>8</v>
      </c>
      <c r="K18" s="286">
        <f>+'99'!K18-('13'!K18+'14'!K18+Law!K18+'26'!K18+'27'!K18+'40'!K18+Den!K18+Med!K18+'52'!K18)</f>
        <v>56</v>
      </c>
      <c r="L18" s="286">
        <f>+'99'!L18-('13'!L18+'14'!L18+Law!L18+'26'!L18+'27'!L18+'40'!L18+Den!L18+Med!L18+'52'!L18)</f>
        <v>66</v>
      </c>
      <c r="M18" s="286">
        <f>+'99'!M18-('13'!M18+'14'!M18+Law!M18+'26'!M18+'27'!M18+'40'!M18+Den!M18+Med!M18+'52'!M18)</f>
        <v>103</v>
      </c>
      <c r="N18" s="286">
        <f>+'99'!N18-('13'!N18+'14'!N18+Law!N18+'26'!N18+'27'!N18+'40'!N18+Den!N18+Med!N18+'52'!N18)</f>
        <v>118</v>
      </c>
      <c r="O18" s="286">
        <f>+'99'!O18-('13'!O18+'14'!O18+Law!O18+'26'!O18+'27'!O18+'40'!O18+Den!O18+Med!O18+'52'!O18)</f>
        <v>1</v>
      </c>
      <c r="P18" s="286">
        <f>+'99'!P18-('13'!P18+'14'!P18+Law!P18+'26'!P18+'27'!P18+'40'!P18+Den!P18+Med!P18+'52'!P18)</f>
        <v>0</v>
      </c>
      <c r="Q18" s="286">
        <f>+'99'!Q18-('13'!Q18+'14'!Q18+Law!Q18+'26'!Q18+'27'!Q18+'40'!Q18+Den!Q18+Med!Q18+'52'!Q18)</f>
        <v>0</v>
      </c>
      <c r="R18" s="286">
        <f>+'99'!R18-('13'!R18+'14'!R18+Law!R18+'26'!R18+'27'!R18+'40'!R18+Den!R18+Med!R18+'52'!R18)</f>
        <v>0</v>
      </c>
      <c r="S18" s="286">
        <f>+'99'!S18-('13'!S18+'14'!S18+Law!S18+'26'!S18+'27'!S18+'40'!S18+Den!S18+Med!S18+'52'!S18)</f>
        <v>8</v>
      </c>
      <c r="T18" s="286">
        <f>+'99'!T18-('13'!T18+'14'!T18+Law!T18+'26'!T18+'27'!T18+'40'!T18+Den!T18+Med!T18+'52'!T18)</f>
        <v>8</v>
      </c>
      <c r="U18" s="47">
        <f>C18+E18+G18+I18+K18+M18+O18+Q18+S18</f>
        <v>207</v>
      </c>
      <c r="V18" s="47">
        <f>D18+F18+H18+J18+L18+N18+P18+R18+T18</f>
        <v>229</v>
      </c>
      <c r="W18" s="44">
        <f>+V18+U18</f>
        <v>436</v>
      </c>
      <c r="X18" s="740"/>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5"/>
      <c r="BW18" s="725"/>
      <c r="BX18" s="725"/>
      <c r="BY18" s="725"/>
      <c r="BZ18" s="725"/>
      <c r="CA18" s="725"/>
      <c r="CB18" s="725"/>
      <c r="CC18" s="725"/>
      <c r="CD18" s="725"/>
      <c r="CE18" s="725"/>
      <c r="CF18" s="725"/>
      <c r="CG18" s="725"/>
      <c r="CH18" s="725"/>
      <c r="CI18" s="725"/>
      <c r="CJ18" s="725"/>
      <c r="CK18" s="725"/>
      <c r="CL18" s="725"/>
      <c r="CM18" s="725"/>
      <c r="CN18" s="725"/>
      <c r="CO18" s="725"/>
      <c r="CP18" s="725"/>
      <c r="CQ18" s="725"/>
      <c r="CR18" s="725"/>
    </row>
    <row r="19" spans="1:96" s="730" customFormat="1" ht="14.1" customHeight="1">
      <c r="A19" s="824" t="s">
        <v>112</v>
      </c>
      <c r="B19" s="22" t="s">
        <v>113</v>
      </c>
      <c r="C19" s="286">
        <f>+'99'!C19-('13'!C19+'14'!C19+Law!C19+'26'!C19+'27'!C19+'40'!C19+Den!C19+Med!C19+'52'!C19)</f>
        <v>0</v>
      </c>
      <c r="D19" s="286">
        <f>+'99'!D19-('13'!D19+'14'!D19+Law!D19+'26'!D19+'27'!D19+'40'!D19+Den!D19+Med!D19+'52'!D19)</f>
        <v>1</v>
      </c>
      <c r="E19" s="286">
        <f>+'99'!E19-('13'!E19+'14'!E19+Law!E19+'26'!E19+'27'!E19+'40'!E19+Den!E19+Med!E19+'52'!E19)</f>
        <v>7</v>
      </c>
      <c r="F19" s="286">
        <f>+'99'!F19-('13'!F19+'14'!F19+Law!F19+'26'!F19+'27'!F19+'40'!F19+Den!F19+Med!F19+'52'!F19)</f>
        <v>3</v>
      </c>
      <c r="G19" s="286">
        <f>+'99'!G19-('13'!G19+'14'!G19+Law!G19+'26'!G19+'27'!G19+'40'!G19+Den!G19+Med!G19+'52'!G19)</f>
        <v>0</v>
      </c>
      <c r="H19" s="286">
        <f>+'99'!H19-('13'!H19+'14'!H19+Law!H19+'26'!H19+'27'!H19+'40'!H19+Den!H19+Med!H19+'52'!H19)</f>
        <v>0</v>
      </c>
      <c r="I19" s="286">
        <f>+'99'!I19-('13'!I19+'14'!I19+Law!I19+'26'!I19+'27'!I19+'40'!I19+Den!I19+Med!I19+'52'!I19)</f>
        <v>3</v>
      </c>
      <c r="J19" s="286">
        <f>+'99'!J19-('13'!J19+'14'!J19+Law!J19+'26'!J19+'27'!J19+'40'!J19+Den!J19+Med!J19+'52'!J19)</f>
        <v>2</v>
      </c>
      <c r="K19" s="286">
        <f>+'99'!K19-('13'!K19+'14'!K19+Law!K19+'26'!K19+'27'!K19+'40'!K19+Den!K19+Med!K19+'52'!K19)</f>
        <v>20</v>
      </c>
      <c r="L19" s="286">
        <f>+'99'!L19-('13'!L19+'14'!L19+Law!L19+'26'!L19+'27'!L19+'40'!L19+Den!L19+Med!L19+'52'!L19)</f>
        <v>23</v>
      </c>
      <c r="M19" s="286">
        <f>+'99'!M19-('13'!M19+'14'!M19+Law!M19+'26'!M19+'27'!M19+'40'!M19+Den!M19+Med!M19+'52'!M19)</f>
        <v>41</v>
      </c>
      <c r="N19" s="286">
        <f>+'99'!N19-('13'!N19+'14'!N19+Law!N19+'26'!N19+'27'!N19+'40'!N19+Den!N19+Med!N19+'52'!N19)</f>
        <v>49</v>
      </c>
      <c r="O19" s="286">
        <f>+'99'!O19-('13'!O19+'14'!O19+Law!O19+'26'!O19+'27'!O19+'40'!O19+Den!O19+Med!O19+'52'!O19)</f>
        <v>0</v>
      </c>
      <c r="P19" s="286">
        <f>+'99'!P19-('13'!P19+'14'!P19+Law!P19+'26'!P19+'27'!P19+'40'!P19+Den!P19+Med!P19+'52'!P19)</f>
        <v>3</v>
      </c>
      <c r="Q19" s="286">
        <f>+'99'!Q19-('13'!Q19+'14'!Q19+Law!Q19+'26'!Q19+'27'!Q19+'40'!Q19+Den!Q19+Med!Q19+'52'!Q19)</f>
        <v>0</v>
      </c>
      <c r="R19" s="286">
        <f>+'99'!R19-('13'!R19+'14'!R19+Law!R19+'26'!R19+'27'!R19+'40'!R19+Den!R19+Med!R19+'52'!R19)</f>
        <v>0</v>
      </c>
      <c r="S19" s="286">
        <f>+'99'!S19-('13'!S19+'14'!S19+Law!S19+'26'!S19+'27'!S19+'40'!S19+Den!S19+Med!S19+'52'!S19)</f>
        <v>4</v>
      </c>
      <c r="T19" s="286">
        <f>+'99'!T19-('13'!T19+'14'!T19+Law!T19+'26'!T19+'27'!T19+'40'!T19+Den!T19+Med!T19+'52'!T19)</f>
        <v>2</v>
      </c>
      <c r="U19" s="47">
        <f>C19+E19+G19+I19+K19+M19+O19+Q19+S19</f>
        <v>75</v>
      </c>
      <c r="V19" s="47">
        <f>D19+F19+H19+J19+L19+N19+P19+R19+T19</f>
        <v>83</v>
      </c>
      <c r="W19" s="44">
        <f>+V19+U19</f>
        <v>158</v>
      </c>
      <c r="X19" s="740"/>
      <c r="Y19" s="725"/>
      <c r="Z19" s="725"/>
      <c r="AA19" s="725"/>
      <c r="AB19" s="725"/>
      <c r="AC19" s="725"/>
      <c r="AD19" s="725"/>
      <c r="AE19" s="725"/>
      <c r="AF19" s="725"/>
      <c r="AG19" s="725"/>
      <c r="AH19" s="725"/>
      <c r="AI19" s="725"/>
      <c r="AJ19" s="725"/>
      <c r="AK19" s="725"/>
      <c r="AL19" s="725"/>
      <c r="AM19" s="725"/>
      <c r="AN19" s="725"/>
      <c r="AO19" s="725"/>
      <c r="AP19" s="725"/>
      <c r="AQ19" s="725"/>
      <c r="AR19" s="725"/>
      <c r="AS19" s="725"/>
      <c r="AT19" s="725"/>
      <c r="AU19" s="725"/>
      <c r="AV19" s="725"/>
      <c r="AW19" s="725"/>
      <c r="AX19" s="725"/>
      <c r="AY19" s="725"/>
      <c r="AZ19" s="725"/>
      <c r="BA19" s="725"/>
      <c r="BB19" s="725"/>
      <c r="BC19" s="725"/>
      <c r="BD19" s="725"/>
      <c r="BE19" s="725"/>
      <c r="BF19" s="725"/>
      <c r="BG19" s="725"/>
      <c r="BH19" s="725"/>
      <c r="BI19" s="725"/>
      <c r="BJ19" s="725"/>
      <c r="BK19" s="725"/>
      <c r="BL19" s="725"/>
      <c r="BM19" s="725"/>
      <c r="BN19" s="725"/>
      <c r="BO19" s="725"/>
      <c r="BP19" s="725"/>
      <c r="BQ19" s="725"/>
      <c r="BR19" s="725"/>
      <c r="BS19" s="725"/>
      <c r="BT19" s="725"/>
      <c r="BU19" s="725"/>
      <c r="BV19" s="725"/>
      <c r="BW19" s="725"/>
      <c r="BX19" s="725"/>
      <c r="BY19" s="725"/>
      <c r="BZ19" s="725"/>
      <c r="CA19" s="725"/>
      <c r="CB19" s="725"/>
      <c r="CC19" s="725"/>
      <c r="CD19" s="725"/>
      <c r="CE19" s="725"/>
      <c r="CF19" s="725"/>
      <c r="CG19" s="725"/>
      <c r="CH19" s="725"/>
      <c r="CI19" s="725"/>
      <c r="CJ19" s="725"/>
      <c r="CK19" s="725"/>
      <c r="CL19" s="725"/>
      <c r="CM19" s="725"/>
      <c r="CN19" s="725"/>
      <c r="CO19" s="725"/>
      <c r="CP19" s="725"/>
      <c r="CQ19" s="725"/>
      <c r="CR19" s="725"/>
    </row>
    <row r="20" spans="1:96" s="730" customFormat="1" ht="14.1" customHeight="1">
      <c r="A20" s="1023" t="s">
        <v>114</v>
      </c>
      <c r="B20" s="1024"/>
      <c r="C20" s="1024"/>
      <c r="D20" s="1024"/>
      <c r="E20" s="1024"/>
      <c r="F20" s="1024"/>
      <c r="G20" s="1024"/>
      <c r="H20" s="1024"/>
      <c r="I20" s="1024"/>
      <c r="J20" s="1024"/>
      <c r="K20" s="1024"/>
      <c r="L20" s="1024"/>
      <c r="M20" s="1024"/>
      <c r="N20" s="1024"/>
      <c r="O20" s="1024"/>
      <c r="P20" s="1024"/>
      <c r="Q20" s="1024"/>
      <c r="R20" s="1024"/>
      <c r="S20" s="1024"/>
      <c r="T20" s="1024"/>
      <c r="U20" s="1024"/>
      <c r="V20" s="1024"/>
      <c r="W20" s="1025"/>
      <c r="X20" s="740"/>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5"/>
      <c r="AV20" s="725"/>
      <c r="AW20" s="725"/>
      <c r="AX20" s="725"/>
      <c r="AY20" s="725"/>
      <c r="AZ20" s="725"/>
      <c r="BA20" s="725"/>
      <c r="BB20" s="725"/>
      <c r="BC20" s="725"/>
      <c r="BD20" s="725"/>
      <c r="BE20" s="725"/>
      <c r="BF20" s="725"/>
      <c r="BG20" s="725"/>
      <c r="BH20" s="725"/>
      <c r="BI20" s="725"/>
      <c r="BJ20" s="725"/>
      <c r="BK20" s="725"/>
      <c r="BL20" s="725"/>
      <c r="BM20" s="725"/>
      <c r="BN20" s="725"/>
      <c r="BO20" s="725"/>
      <c r="BP20" s="725"/>
      <c r="BQ20" s="725"/>
      <c r="BR20" s="725"/>
      <c r="BS20" s="725"/>
      <c r="BT20" s="725"/>
      <c r="BU20" s="725"/>
      <c r="BV20" s="725"/>
      <c r="BW20" s="725"/>
      <c r="BX20" s="725"/>
      <c r="BY20" s="725"/>
      <c r="BZ20" s="725"/>
      <c r="CA20" s="725"/>
      <c r="CB20" s="725"/>
      <c r="CC20" s="725"/>
      <c r="CD20" s="725"/>
      <c r="CE20" s="725"/>
      <c r="CF20" s="725"/>
      <c r="CG20" s="725"/>
      <c r="CH20" s="725"/>
      <c r="CI20" s="725"/>
      <c r="CJ20" s="725"/>
      <c r="CK20" s="725"/>
      <c r="CL20" s="725"/>
      <c r="CM20" s="725"/>
      <c r="CN20" s="725"/>
      <c r="CO20" s="725"/>
      <c r="CP20" s="725"/>
      <c r="CQ20" s="725"/>
      <c r="CR20" s="725"/>
    </row>
    <row r="21" spans="1:96" s="730" customFormat="1" ht="14.1" customHeight="1">
      <c r="A21" s="825" t="s">
        <v>115</v>
      </c>
      <c r="B21" s="22" t="s">
        <v>116</v>
      </c>
      <c r="C21" s="286">
        <f>+'99'!C21-('13'!C21+'14'!C21+Law!C21+'26'!C21+'27'!C21+'40'!C21+Den!C21+Med!C21+'52'!C21)</f>
        <v>0</v>
      </c>
      <c r="D21" s="286">
        <f>+'99'!D21-('13'!D21+'14'!D21+Law!D21+'26'!D21+'27'!D21+'40'!D21+Den!D21+Med!D21+'52'!D21)</f>
        <v>0</v>
      </c>
      <c r="E21" s="286">
        <f>+'99'!E21-('13'!E21+'14'!E21+Law!E21+'26'!E21+'27'!E21+'40'!E21+Den!E21+Med!E21+'52'!E21)</f>
        <v>29</v>
      </c>
      <c r="F21" s="286">
        <f>+'99'!F21-('13'!F21+'14'!F21+Law!F21+'26'!F21+'27'!F21+'40'!F21+Den!F21+Med!F21+'52'!F21)</f>
        <v>33</v>
      </c>
      <c r="G21" s="286">
        <f>+'99'!G21-('13'!G21+'14'!G21+Law!G21+'26'!G21+'27'!G21+'40'!G21+Den!G21+Med!G21+'52'!G21)</f>
        <v>0</v>
      </c>
      <c r="H21" s="286">
        <f>+'99'!H21-('13'!H21+'14'!H21+Law!H21+'26'!H21+'27'!H21+'40'!H21+Den!H21+Med!H21+'52'!H21)</f>
        <v>3</v>
      </c>
      <c r="I21" s="286">
        <f>+'99'!I21-('13'!I21+'14'!I21+Law!I21+'26'!I21+'27'!I21+'40'!I21+Den!I21+Med!I21+'52'!I21)</f>
        <v>6</v>
      </c>
      <c r="J21" s="286">
        <f>+'99'!J21-('13'!J21+'14'!J21+Law!J21+'26'!J21+'27'!J21+'40'!J21+Den!J21+Med!J21+'52'!J21)</f>
        <v>8</v>
      </c>
      <c r="K21" s="286">
        <f>+'99'!K21-('13'!K21+'14'!K21+Law!K21+'26'!K21+'27'!K21+'40'!K21+Den!K21+Med!K21+'52'!K21)</f>
        <v>53</v>
      </c>
      <c r="L21" s="286">
        <f>+'99'!L21-('13'!L21+'14'!L21+Law!L21+'26'!L21+'27'!L21+'40'!L21+Den!L21+Med!L21+'52'!L21)</f>
        <v>103</v>
      </c>
      <c r="M21" s="286">
        <f>+'99'!M21-('13'!M21+'14'!M21+Law!M21+'26'!M21+'27'!M21+'40'!M21+Den!M21+Med!M21+'52'!M21)</f>
        <v>125</v>
      </c>
      <c r="N21" s="286">
        <f>+'99'!N21-('13'!N21+'14'!N21+Law!N21+'26'!N21+'27'!N21+'40'!N21+Den!N21+Med!N21+'52'!N21)</f>
        <v>135</v>
      </c>
      <c r="O21" s="286">
        <f>+'99'!O21-('13'!O21+'14'!O21+Law!O21+'26'!O21+'27'!O21+'40'!O21+Den!O21+Med!O21+'52'!O21)</f>
        <v>0</v>
      </c>
      <c r="P21" s="286">
        <f>+'99'!P21-('13'!P21+'14'!P21+Law!P21+'26'!P21+'27'!P21+'40'!P21+Den!P21+Med!P21+'52'!P21)</f>
        <v>1</v>
      </c>
      <c r="Q21" s="286">
        <f>+'99'!Q21-('13'!Q21+'14'!Q21+Law!Q21+'26'!Q21+'27'!Q21+'40'!Q21+Den!Q21+Med!Q21+'52'!Q21)</f>
        <v>0</v>
      </c>
      <c r="R21" s="286">
        <f>+'99'!R21-('13'!R21+'14'!R21+Law!R21+'26'!R21+'27'!R21+'40'!R21+Den!R21+Med!R21+'52'!R21)</f>
        <v>0</v>
      </c>
      <c r="S21" s="286">
        <f>+'99'!S21-('13'!S21+'14'!S21+Law!S21+'26'!S21+'27'!S21+'40'!S21+Den!S21+Med!S21+'52'!S21)</f>
        <v>17</v>
      </c>
      <c r="T21" s="286">
        <f>+'99'!T21-('13'!T21+'14'!T21+Law!T21+'26'!T21+'27'!T21+'40'!T21+Den!T21+Med!T21+'52'!T21)</f>
        <v>30</v>
      </c>
      <c r="U21" s="47">
        <f t="shared" ref="U21:V26" si="0">C21+E21+G21+I21+K21+M21+O21+Q21+S21</f>
        <v>230</v>
      </c>
      <c r="V21" s="47">
        <f t="shared" si="0"/>
        <v>313</v>
      </c>
      <c r="W21" s="44">
        <f t="shared" ref="W21:W26" si="1">+V21+U21</f>
        <v>543</v>
      </c>
      <c r="X21" s="740"/>
      <c r="Y21" s="725"/>
      <c r="Z21" s="725"/>
      <c r="AA21" s="725"/>
      <c r="AB21" s="725"/>
      <c r="AC21" s="725"/>
      <c r="AD21" s="725"/>
      <c r="AE21" s="725"/>
      <c r="AF21" s="725"/>
      <c r="AG21" s="725"/>
      <c r="AH21" s="725"/>
      <c r="AI21" s="725"/>
      <c r="AJ21" s="725"/>
      <c r="AK21" s="725"/>
      <c r="AL21" s="725"/>
      <c r="AM21" s="725"/>
      <c r="AN21" s="725"/>
      <c r="AO21" s="725"/>
      <c r="AP21" s="725"/>
      <c r="AQ21" s="725"/>
      <c r="AR21" s="725"/>
      <c r="AS21" s="725"/>
      <c r="AT21" s="725"/>
      <c r="AU21" s="725"/>
      <c r="AV21" s="725"/>
      <c r="AW21" s="725"/>
      <c r="AX21" s="725"/>
      <c r="AY21" s="725"/>
      <c r="AZ21" s="725"/>
      <c r="BA21" s="725"/>
      <c r="BB21" s="725"/>
      <c r="BC21" s="725"/>
      <c r="BD21" s="725"/>
      <c r="BE21" s="725"/>
      <c r="BF21" s="725"/>
      <c r="BG21" s="725"/>
      <c r="BH21" s="725"/>
      <c r="BI21" s="725"/>
      <c r="BJ21" s="725"/>
      <c r="BK21" s="725"/>
      <c r="BL21" s="725"/>
      <c r="BM21" s="725"/>
      <c r="BN21" s="725"/>
      <c r="BO21" s="725"/>
      <c r="BP21" s="725"/>
      <c r="BQ21" s="725"/>
      <c r="BR21" s="725"/>
      <c r="BS21" s="725"/>
      <c r="BT21" s="725"/>
      <c r="BU21" s="725"/>
      <c r="BV21" s="725"/>
      <c r="BW21" s="725"/>
      <c r="BX21" s="725"/>
      <c r="BY21" s="725"/>
      <c r="BZ21" s="725"/>
      <c r="CA21" s="725"/>
      <c r="CB21" s="725"/>
      <c r="CC21" s="725"/>
      <c r="CD21" s="725"/>
      <c r="CE21" s="725"/>
      <c r="CF21" s="725"/>
      <c r="CG21" s="725"/>
      <c r="CH21" s="725"/>
      <c r="CI21" s="725"/>
      <c r="CJ21" s="725"/>
      <c r="CK21" s="725"/>
      <c r="CL21" s="725"/>
      <c r="CM21" s="725"/>
      <c r="CN21" s="725"/>
      <c r="CO21" s="725"/>
      <c r="CP21" s="725"/>
      <c r="CQ21" s="725"/>
      <c r="CR21" s="725"/>
    </row>
    <row r="22" spans="1:96" s="730" customFormat="1" ht="14.1" customHeight="1">
      <c r="A22" s="825" t="s">
        <v>117</v>
      </c>
      <c r="B22" s="22" t="s">
        <v>118</v>
      </c>
      <c r="C22" s="286">
        <f>+'99'!C22-('13'!C22+'14'!C22+Law!C22+'26'!C22+'27'!C22+'40'!C22+Den!C22+Med!C22+'52'!C22)</f>
        <v>1</v>
      </c>
      <c r="D22" s="286">
        <f>+'99'!D22-('13'!D22+'14'!D22+Law!D22+'26'!D22+'27'!D22+'40'!D22+Den!D22+Med!D22+'52'!D22)</f>
        <v>0</v>
      </c>
      <c r="E22" s="286">
        <f>+'99'!E22-('13'!E22+'14'!E22+Law!E22+'26'!E22+'27'!E22+'40'!E22+Den!E22+Med!E22+'52'!E22)</f>
        <v>18</v>
      </c>
      <c r="F22" s="286">
        <f>+'99'!F22-('13'!F22+'14'!F22+Law!F22+'26'!F22+'27'!F22+'40'!F22+Den!F22+Med!F22+'52'!F22)</f>
        <v>29</v>
      </c>
      <c r="G22" s="286">
        <f>+'99'!G22-('13'!G22+'14'!G22+Law!G22+'26'!G22+'27'!G22+'40'!G22+Den!G22+Med!G22+'52'!G22)</f>
        <v>0</v>
      </c>
      <c r="H22" s="286">
        <f>+'99'!H22-('13'!H22+'14'!H22+Law!H22+'26'!H22+'27'!H22+'40'!H22+Den!H22+Med!H22+'52'!H22)</f>
        <v>1</v>
      </c>
      <c r="I22" s="286">
        <f>+'99'!I22-('13'!I22+'14'!I22+Law!I22+'26'!I22+'27'!I22+'40'!I22+Den!I22+Med!I22+'52'!I22)</f>
        <v>7</v>
      </c>
      <c r="J22" s="286">
        <f>+'99'!J22-('13'!J22+'14'!J22+Law!J22+'26'!J22+'27'!J22+'40'!J22+Den!J22+Med!J22+'52'!J22)</f>
        <v>12</v>
      </c>
      <c r="K22" s="286">
        <f>+'99'!K22-('13'!K22+'14'!K22+Law!K22+'26'!K22+'27'!K22+'40'!K22+Den!K22+Med!K22+'52'!K22)</f>
        <v>49</v>
      </c>
      <c r="L22" s="286">
        <f>+'99'!L22-('13'!L22+'14'!L22+Law!L22+'26'!L22+'27'!L22+'40'!L22+Den!L22+Med!L22+'52'!L22)</f>
        <v>77</v>
      </c>
      <c r="M22" s="286">
        <f>+'99'!M22-('13'!M22+'14'!M22+Law!M22+'26'!M22+'27'!M22+'40'!M22+Den!M22+Med!M22+'52'!M22)</f>
        <v>108</v>
      </c>
      <c r="N22" s="286">
        <f>+'99'!N22-('13'!N22+'14'!N22+Law!N22+'26'!N22+'27'!N22+'40'!N22+Den!N22+Med!N22+'52'!N22)</f>
        <v>160</v>
      </c>
      <c r="O22" s="286">
        <f>+'99'!O22-('13'!O22+'14'!O22+Law!O22+'26'!O22+'27'!O22+'40'!O22+Den!O22+Med!O22+'52'!O22)</f>
        <v>5</v>
      </c>
      <c r="P22" s="286">
        <f>+'99'!P22-('13'!P22+'14'!P22+Law!P22+'26'!P22+'27'!P22+'40'!P22+Den!P22+Med!P22+'52'!P22)</f>
        <v>8</v>
      </c>
      <c r="Q22" s="286">
        <f>+'99'!Q22-('13'!Q22+'14'!Q22+Law!Q22+'26'!Q22+'27'!Q22+'40'!Q22+Den!Q22+Med!Q22+'52'!Q22)</f>
        <v>0</v>
      </c>
      <c r="R22" s="286">
        <f>+'99'!R22-('13'!R22+'14'!R22+Law!R22+'26'!R22+'27'!R22+'40'!R22+Den!R22+Med!R22+'52'!R22)</f>
        <v>0</v>
      </c>
      <c r="S22" s="286">
        <f>+'99'!S22-('13'!S22+'14'!S22+Law!S22+'26'!S22+'27'!S22+'40'!S22+Den!S22+Med!S22+'52'!S22)</f>
        <v>8</v>
      </c>
      <c r="T22" s="286">
        <f>+'99'!T22-('13'!T22+'14'!T22+Law!T22+'26'!T22+'27'!T22+'40'!T22+Den!T22+Med!T22+'52'!T22)</f>
        <v>14</v>
      </c>
      <c r="U22" s="47">
        <f t="shared" si="0"/>
        <v>196</v>
      </c>
      <c r="V22" s="47">
        <f t="shared" si="0"/>
        <v>301</v>
      </c>
      <c r="W22" s="44">
        <f t="shared" si="1"/>
        <v>497</v>
      </c>
      <c r="X22" s="740"/>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25"/>
      <c r="AY22" s="725"/>
      <c r="AZ22" s="725"/>
      <c r="BA22" s="725"/>
      <c r="BB22" s="725"/>
      <c r="BC22" s="725"/>
      <c r="BD22" s="725"/>
      <c r="BE22" s="725"/>
      <c r="BF22" s="725"/>
      <c r="BG22" s="725"/>
      <c r="BH22" s="725"/>
      <c r="BI22" s="725"/>
      <c r="BJ22" s="725"/>
      <c r="BK22" s="725"/>
      <c r="BL22" s="725"/>
      <c r="BM22" s="725"/>
      <c r="BN22" s="725"/>
      <c r="BO22" s="725"/>
      <c r="BP22" s="725"/>
      <c r="BQ22" s="725"/>
      <c r="BR22" s="725"/>
      <c r="BS22" s="725"/>
      <c r="BT22" s="725"/>
      <c r="BU22" s="725"/>
      <c r="BV22" s="725"/>
      <c r="BW22" s="725"/>
      <c r="BX22" s="725"/>
      <c r="BY22" s="725"/>
      <c r="BZ22" s="725"/>
      <c r="CA22" s="725"/>
      <c r="CB22" s="725"/>
      <c r="CC22" s="725"/>
      <c r="CD22" s="725"/>
      <c r="CE22" s="725"/>
      <c r="CF22" s="725"/>
      <c r="CG22" s="725"/>
      <c r="CH22" s="725"/>
      <c r="CI22" s="725"/>
      <c r="CJ22" s="725"/>
      <c r="CK22" s="725"/>
      <c r="CL22" s="725"/>
      <c r="CM22" s="725"/>
      <c r="CN22" s="725"/>
      <c r="CO22" s="725"/>
      <c r="CP22" s="725"/>
      <c r="CQ22" s="725"/>
      <c r="CR22" s="725"/>
    </row>
    <row r="23" spans="1:96" s="730" customFormat="1" ht="14.1" customHeight="1">
      <c r="A23" s="825" t="s">
        <v>119</v>
      </c>
      <c r="B23" s="22" t="s">
        <v>120</v>
      </c>
      <c r="C23" s="286">
        <f>+'99'!C23-('13'!C23+'14'!C23+Law!C23+'26'!C23+'27'!C23+'40'!C23+Den!C23+Med!C23+'52'!C23)</f>
        <v>0</v>
      </c>
      <c r="D23" s="286">
        <f>+'99'!D23-('13'!D23+'14'!D23+Law!D23+'26'!D23+'27'!D23+'40'!D23+Den!D23+Med!D23+'52'!D23)</f>
        <v>0</v>
      </c>
      <c r="E23" s="286">
        <f>+'99'!E23-('13'!E23+'14'!E23+Law!E23+'26'!E23+'27'!E23+'40'!E23+Den!E23+Med!E23+'52'!E23)</f>
        <v>21</v>
      </c>
      <c r="F23" s="286">
        <f>+'99'!F23-('13'!F23+'14'!F23+Law!F23+'26'!F23+'27'!F23+'40'!F23+Den!F23+Med!F23+'52'!F23)</f>
        <v>17</v>
      </c>
      <c r="G23" s="286">
        <f>+'99'!G23-('13'!G23+'14'!G23+Law!G23+'26'!G23+'27'!G23+'40'!G23+Den!G23+Med!G23+'52'!G23)</f>
        <v>0</v>
      </c>
      <c r="H23" s="286">
        <f>+'99'!H23-('13'!H23+'14'!H23+Law!H23+'26'!H23+'27'!H23+'40'!H23+Den!H23+Med!H23+'52'!H23)</f>
        <v>1</v>
      </c>
      <c r="I23" s="286">
        <f>+'99'!I23-('13'!I23+'14'!I23+Law!I23+'26'!I23+'27'!I23+'40'!I23+Den!I23+Med!I23+'52'!I23)</f>
        <v>7</v>
      </c>
      <c r="J23" s="286">
        <f>+'99'!J23-('13'!J23+'14'!J23+Law!J23+'26'!J23+'27'!J23+'40'!J23+Den!J23+Med!J23+'52'!J23)</f>
        <v>21</v>
      </c>
      <c r="K23" s="286">
        <f>+'99'!K23-('13'!K23+'14'!K23+Law!K23+'26'!K23+'27'!K23+'40'!K23+Den!K23+Med!K23+'52'!K23)</f>
        <v>34</v>
      </c>
      <c r="L23" s="286">
        <f>+'99'!L23-('13'!L23+'14'!L23+Law!L23+'26'!L23+'27'!L23+'40'!L23+Den!L23+Med!L23+'52'!L23)</f>
        <v>68</v>
      </c>
      <c r="M23" s="286">
        <f>+'99'!M23-('13'!M23+'14'!M23+Law!M23+'26'!M23+'27'!M23+'40'!M23+Den!M23+Med!M23+'52'!M23)</f>
        <v>126</v>
      </c>
      <c r="N23" s="286">
        <f>+'99'!N23-('13'!N23+'14'!N23+Law!N23+'26'!N23+'27'!N23+'40'!N23+Den!N23+Med!N23+'52'!N23)</f>
        <v>178</v>
      </c>
      <c r="O23" s="286">
        <f>+'99'!O23-('13'!O23+'14'!O23+Law!O23+'26'!O23+'27'!O23+'40'!O23+Den!O23+Med!O23+'52'!O23)</f>
        <v>6</v>
      </c>
      <c r="P23" s="286">
        <f>+'99'!P23-('13'!P23+'14'!P23+Law!P23+'26'!P23+'27'!P23+'40'!P23+Den!P23+Med!P23+'52'!P23)</f>
        <v>11</v>
      </c>
      <c r="Q23" s="286">
        <f>+'99'!Q23-('13'!Q23+'14'!Q23+Law!Q23+'26'!Q23+'27'!Q23+'40'!Q23+Den!Q23+Med!Q23+'52'!Q23)</f>
        <v>0</v>
      </c>
      <c r="R23" s="286">
        <f>+'99'!R23-('13'!R23+'14'!R23+Law!R23+'26'!R23+'27'!R23+'40'!R23+Den!R23+Med!R23+'52'!R23)</f>
        <v>0</v>
      </c>
      <c r="S23" s="286">
        <f>+'99'!S23-('13'!S23+'14'!S23+Law!S23+'26'!S23+'27'!S23+'40'!S23+Den!S23+Med!S23+'52'!S23)</f>
        <v>7</v>
      </c>
      <c r="T23" s="286">
        <f>+'99'!T23-('13'!T23+'14'!T23+Law!T23+'26'!T23+'27'!T23+'40'!T23+Den!T23+Med!T23+'52'!T23)</f>
        <v>5</v>
      </c>
      <c r="U23" s="47">
        <f t="shared" si="0"/>
        <v>201</v>
      </c>
      <c r="V23" s="47">
        <f t="shared" si="0"/>
        <v>301</v>
      </c>
      <c r="W23" s="44">
        <f t="shared" si="1"/>
        <v>502</v>
      </c>
      <c r="X23" s="740"/>
      <c r="Y23" s="725"/>
      <c r="Z23" s="725"/>
      <c r="AA23" s="725"/>
      <c r="AB23" s="725"/>
      <c r="AC23" s="725"/>
      <c r="AD23" s="725"/>
      <c r="AE23" s="725"/>
      <c r="AF23" s="725"/>
      <c r="AG23" s="725"/>
      <c r="AH23" s="725"/>
      <c r="AI23" s="725"/>
      <c r="AJ23" s="725"/>
      <c r="AK23" s="725"/>
      <c r="AL23" s="725"/>
      <c r="AM23" s="725"/>
      <c r="AN23" s="725"/>
      <c r="AO23" s="725"/>
      <c r="AP23" s="725"/>
      <c r="AQ23" s="725"/>
      <c r="AR23" s="725"/>
      <c r="AS23" s="725"/>
      <c r="AT23" s="725"/>
      <c r="AU23" s="725"/>
      <c r="AV23" s="725"/>
      <c r="AW23" s="725"/>
      <c r="AX23" s="725"/>
      <c r="AY23" s="725"/>
      <c r="AZ23" s="725"/>
      <c r="BA23" s="725"/>
      <c r="BB23" s="725"/>
      <c r="BC23" s="725"/>
      <c r="BD23" s="725"/>
      <c r="BE23" s="725"/>
      <c r="BF23" s="725"/>
      <c r="BG23" s="725"/>
      <c r="BH23" s="725"/>
      <c r="BI23" s="725"/>
      <c r="BJ23" s="725"/>
      <c r="BK23" s="725"/>
      <c r="BL23" s="725"/>
      <c r="BM23" s="725"/>
      <c r="BN23" s="725"/>
      <c r="BO23" s="725"/>
      <c r="BP23" s="725"/>
      <c r="BQ23" s="725"/>
      <c r="BR23" s="725"/>
      <c r="BS23" s="725"/>
      <c r="BT23" s="725"/>
      <c r="BU23" s="725"/>
      <c r="BV23" s="725"/>
      <c r="BW23" s="725"/>
      <c r="BX23" s="725"/>
      <c r="BY23" s="725"/>
      <c r="BZ23" s="725"/>
      <c r="CA23" s="725"/>
      <c r="CB23" s="725"/>
      <c r="CC23" s="725"/>
      <c r="CD23" s="725"/>
      <c r="CE23" s="725"/>
      <c r="CF23" s="725"/>
      <c r="CG23" s="725"/>
      <c r="CH23" s="725"/>
      <c r="CI23" s="725"/>
      <c r="CJ23" s="725"/>
      <c r="CK23" s="725"/>
      <c r="CL23" s="725"/>
      <c r="CM23" s="725"/>
      <c r="CN23" s="725"/>
      <c r="CO23" s="725"/>
      <c r="CP23" s="725"/>
      <c r="CQ23" s="725"/>
      <c r="CR23" s="725"/>
    </row>
    <row r="24" spans="1:96" s="730" customFormat="1" ht="14.1" customHeight="1">
      <c r="A24" s="825" t="s">
        <v>121</v>
      </c>
      <c r="B24" s="22" t="s">
        <v>122</v>
      </c>
      <c r="C24" s="286">
        <f>+'99'!C24-('13'!C24+'14'!C24+Law!C24+'26'!C24+'27'!C24+'40'!C24+Den!C24+Med!C24+'52'!C24)</f>
        <v>0</v>
      </c>
      <c r="D24" s="286">
        <f>+'99'!D24-('13'!D24+'14'!D24+Law!D24+'26'!D24+'27'!D24+'40'!D24+Den!D24+Med!D24+'52'!D24)</f>
        <v>0</v>
      </c>
      <c r="E24" s="286">
        <f>+'99'!E24-('13'!E24+'14'!E24+Law!E24+'26'!E24+'27'!E24+'40'!E24+Den!E24+Med!E24+'52'!E24)</f>
        <v>0</v>
      </c>
      <c r="F24" s="286">
        <f>+'99'!F24-('13'!F24+'14'!F24+Law!F24+'26'!F24+'27'!F24+'40'!F24+Den!F24+Med!F24+'52'!F24)</f>
        <v>0</v>
      </c>
      <c r="G24" s="286">
        <f>+'99'!G24-('13'!G24+'14'!G24+Law!G24+'26'!G24+'27'!G24+'40'!G24+Den!G24+Med!G24+'52'!G24)</f>
        <v>0</v>
      </c>
      <c r="H24" s="286">
        <f>+'99'!H24-('13'!H24+'14'!H24+Law!H24+'26'!H24+'27'!H24+'40'!H24+Den!H24+Med!H24+'52'!H24)</f>
        <v>0</v>
      </c>
      <c r="I24" s="286">
        <f>+'99'!I24-('13'!I24+'14'!I24+Law!I24+'26'!I24+'27'!I24+'40'!I24+Den!I24+Med!I24+'52'!I24)</f>
        <v>0</v>
      </c>
      <c r="J24" s="286">
        <f>+'99'!J24-('13'!J24+'14'!J24+Law!J24+'26'!J24+'27'!J24+'40'!J24+Den!J24+Med!J24+'52'!J24)</f>
        <v>0</v>
      </c>
      <c r="K24" s="286">
        <f>+'99'!K24-('13'!K24+'14'!K24+Law!K24+'26'!K24+'27'!K24+'40'!K24+Den!K24+Med!K24+'52'!K24)</f>
        <v>0</v>
      </c>
      <c r="L24" s="286">
        <f>+'99'!L24-('13'!L24+'14'!L24+Law!L24+'26'!L24+'27'!L24+'40'!L24+Den!L24+Med!L24+'52'!L24)</f>
        <v>0</v>
      </c>
      <c r="M24" s="286">
        <f>+'99'!M24-('13'!M24+'14'!M24+Law!M24+'26'!M24+'27'!M24+'40'!M24+Den!M24+Med!M24+'52'!M24)</f>
        <v>0</v>
      </c>
      <c r="N24" s="286">
        <f>+'99'!N24-('13'!N24+'14'!N24+Law!N24+'26'!N24+'27'!N24+'40'!N24+Den!N24+Med!N24+'52'!N24)</f>
        <v>0</v>
      </c>
      <c r="O24" s="286">
        <f>+'99'!O24-('13'!O24+'14'!O24+Law!O24+'26'!O24+'27'!O24+'40'!O24+Den!O24+Med!O24+'52'!O24)</f>
        <v>0</v>
      </c>
      <c r="P24" s="286">
        <f>+'99'!P24-('13'!P24+'14'!P24+Law!P24+'26'!P24+'27'!P24+'40'!P24+Den!P24+Med!P24+'52'!P24)</f>
        <v>0</v>
      </c>
      <c r="Q24" s="286">
        <f>+'99'!Q24-('13'!Q24+'14'!Q24+Law!Q24+'26'!Q24+'27'!Q24+'40'!Q24+Den!Q24+Med!Q24+'52'!Q24)</f>
        <v>0</v>
      </c>
      <c r="R24" s="286">
        <f>+'99'!R24-('13'!R24+'14'!R24+Law!R24+'26'!R24+'27'!R24+'40'!R24+Den!R24+Med!R24+'52'!R24)</f>
        <v>0</v>
      </c>
      <c r="S24" s="286">
        <f>+'99'!S24-('13'!S24+'14'!S24+Law!S24+'26'!S24+'27'!S24+'40'!S24+Den!S24+Med!S24+'52'!S24)</f>
        <v>0</v>
      </c>
      <c r="T24" s="286">
        <f>+'99'!T24-('13'!T24+'14'!T24+Law!T24+'26'!T24+'27'!T24+'40'!T24+Den!T24+Med!T24+'52'!T24)</f>
        <v>0</v>
      </c>
      <c r="U24" s="47">
        <f t="shared" si="0"/>
        <v>0</v>
      </c>
      <c r="V24" s="47">
        <f t="shared" si="0"/>
        <v>0</v>
      </c>
      <c r="W24" s="44">
        <f t="shared" si="1"/>
        <v>0</v>
      </c>
      <c r="X24" s="740"/>
      <c r="Y24" s="725"/>
      <c r="Z24" s="725"/>
      <c r="AA24" s="725"/>
      <c r="AB24" s="725"/>
      <c r="AC24" s="725"/>
      <c r="AD24" s="725"/>
      <c r="AE24" s="725"/>
      <c r="AF24" s="725"/>
      <c r="AG24" s="725"/>
      <c r="AH24" s="725"/>
      <c r="AI24" s="725"/>
      <c r="AJ24" s="725"/>
      <c r="AK24" s="725"/>
      <c r="AL24" s="725"/>
      <c r="AM24" s="725"/>
      <c r="AN24" s="725"/>
      <c r="AO24" s="725"/>
      <c r="AP24" s="725"/>
      <c r="AQ24" s="725"/>
      <c r="AR24" s="725"/>
      <c r="AS24" s="725"/>
      <c r="AT24" s="725"/>
      <c r="AU24" s="725"/>
      <c r="AV24" s="725"/>
      <c r="AW24" s="725"/>
      <c r="AX24" s="725"/>
      <c r="AY24" s="725"/>
      <c r="AZ24" s="725"/>
      <c r="BA24" s="725"/>
      <c r="BB24" s="725"/>
      <c r="BC24" s="725"/>
      <c r="BD24" s="725"/>
      <c r="BE24" s="725"/>
      <c r="BF24" s="725"/>
      <c r="BG24" s="725"/>
      <c r="BH24" s="725"/>
      <c r="BI24" s="725"/>
      <c r="BJ24" s="725"/>
      <c r="BK24" s="725"/>
      <c r="BL24" s="725"/>
      <c r="BM24" s="725"/>
      <c r="BN24" s="725"/>
      <c r="BO24" s="725"/>
      <c r="BP24" s="725"/>
      <c r="BQ24" s="725"/>
      <c r="BR24" s="725"/>
      <c r="BS24" s="725"/>
      <c r="BT24" s="725"/>
      <c r="BU24" s="725"/>
      <c r="BV24" s="725"/>
      <c r="BW24" s="725"/>
      <c r="BX24" s="725"/>
      <c r="BY24" s="725"/>
      <c r="BZ24" s="725"/>
      <c r="CA24" s="725"/>
      <c r="CB24" s="725"/>
      <c r="CC24" s="725"/>
      <c r="CD24" s="725"/>
      <c r="CE24" s="725"/>
      <c r="CF24" s="725"/>
      <c r="CG24" s="725"/>
      <c r="CH24" s="725"/>
      <c r="CI24" s="725"/>
      <c r="CJ24" s="725"/>
      <c r="CK24" s="725"/>
      <c r="CL24" s="725"/>
      <c r="CM24" s="725"/>
      <c r="CN24" s="725"/>
      <c r="CO24" s="725"/>
      <c r="CP24" s="725"/>
      <c r="CQ24" s="725"/>
      <c r="CR24" s="725"/>
    </row>
    <row r="25" spans="1:96" s="730" customFormat="1" ht="26.25" customHeight="1">
      <c r="A25" s="547" t="s">
        <v>123</v>
      </c>
      <c r="B25" s="22" t="s">
        <v>124</v>
      </c>
      <c r="C25" s="286">
        <f>+'99'!C25-('13'!C25+'14'!C25+Law!C25+'26'!C25+'27'!C25+'40'!C25+Den!C25+Med!C25+'52'!C25)</f>
        <v>0</v>
      </c>
      <c r="D25" s="286">
        <f>+'99'!D25-('13'!D25+'14'!D25+Law!D25+'26'!D25+'27'!D25+'40'!D25+Den!D25+Med!D25+'52'!D25)</f>
        <v>0</v>
      </c>
      <c r="E25" s="286">
        <f>+'99'!E25-('13'!E25+'14'!E25+Law!E25+'26'!E25+'27'!E25+'40'!E25+Den!E25+Med!E25+'52'!E25)</f>
        <v>0</v>
      </c>
      <c r="F25" s="286">
        <f>+'99'!F25-('13'!F25+'14'!F25+Law!F25+'26'!F25+'27'!F25+'40'!F25+Den!F25+Med!F25+'52'!F25)</f>
        <v>0</v>
      </c>
      <c r="G25" s="286">
        <f>+'99'!G25-('13'!G25+'14'!G25+Law!G25+'26'!G25+'27'!G25+'40'!G25+Den!G25+Med!G25+'52'!G25)</f>
        <v>0</v>
      </c>
      <c r="H25" s="286">
        <f>+'99'!H25-('13'!H25+'14'!H25+Law!H25+'26'!H25+'27'!H25+'40'!H25+Den!H25+Med!H25+'52'!H25)</f>
        <v>0</v>
      </c>
      <c r="I25" s="286">
        <f>+'99'!I25-('13'!I25+'14'!I25+Law!I25+'26'!I25+'27'!I25+'40'!I25+Den!I25+Med!I25+'52'!I25)</f>
        <v>0</v>
      </c>
      <c r="J25" s="286">
        <f>+'99'!J25-('13'!J25+'14'!J25+Law!J25+'26'!J25+'27'!J25+'40'!J25+Den!J25+Med!J25+'52'!J25)</f>
        <v>0</v>
      </c>
      <c r="K25" s="286">
        <f>+'99'!K25-('13'!K25+'14'!K25+Law!K25+'26'!K25+'27'!K25+'40'!K25+Den!K25+Med!K25+'52'!K25)</f>
        <v>0</v>
      </c>
      <c r="L25" s="286">
        <f>+'99'!L25-('13'!L25+'14'!L25+Law!L25+'26'!L25+'27'!L25+'40'!L25+Den!L25+Med!L25+'52'!L25)</f>
        <v>0</v>
      </c>
      <c r="M25" s="286">
        <f>+'99'!M25-('13'!M25+'14'!M25+Law!M25+'26'!M25+'27'!M25+'40'!M25+Den!M25+Med!M25+'52'!M25)</f>
        <v>0</v>
      </c>
      <c r="N25" s="286">
        <f>+'99'!N25-('13'!N25+'14'!N25+Law!N25+'26'!N25+'27'!N25+'40'!N25+Den!N25+Med!N25+'52'!N25)</f>
        <v>0</v>
      </c>
      <c r="O25" s="286">
        <f>+'99'!O25-('13'!O25+'14'!O25+Law!O25+'26'!O25+'27'!O25+'40'!O25+Den!O25+Med!O25+'52'!O25)</f>
        <v>0</v>
      </c>
      <c r="P25" s="286">
        <f>+'99'!P25-('13'!P25+'14'!P25+Law!P25+'26'!P25+'27'!P25+'40'!P25+Den!P25+Med!P25+'52'!P25)</f>
        <v>0</v>
      </c>
      <c r="Q25" s="286">
        <f>+'99'!Q25-('13'!Q25+'14'!Q25+Law!Q25+'26'!Q25+'27'!Q25+'40'!Q25+Den!Q25+Med!Q25+'52'!Q25)</f>
        <v>0</v>
      </c>
      <c r="R25" s="286">
        <f>+'99'!R25-('13'!R25+'14'!R25+Law!R25+'26'!R25+'27'!R25+'40'!R25+Den!R25+Med!R25+'52'!R25)</f>
        <v>0</v>
      </c>
      <c r="S25" s="286">
        <f>+'99'!S25-('13'!S25+'14'!S25+Law!S25+'26'!S25+'27'!S25+'40'!S25+Den!S25+Med!S25+'52'!S25)</f>
        <v>0</v>
      </c>
      <c r="T25" s="286">
        <f>+'99'!T25-('13'!T25+'14'!T25+Law!T25+'26'!T25+'27'!T25+'40'!T25+Den!T25+Med!T25+'52'!T25)</f>
        <v>0</v>
      </c>
      <c r="U25" s="47">
        <f t="shared" si="0"/>
        <v>0</v>
      </c>
      <c r="V25" s="47">
        <f t="shared" si="0"/>
        <v>0</v>
      </c>
      <c r="W25" s="44">
        <f t="shared" si="1"/>
        <v>0</v>
      </c>
      <c r="X25" s="740"/>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725"/>
      <c r="BK25" s="725"/>
      <c r="BL25" s="725"/>
      <c r="BM25" s="725"/>
      <c r="BN25" s="725"/>
      <c r="BO25" s="725"/>
      <c r="BP25" s="725"/>
      <c r="BQ25" s="725"/>
      <c r="BR25" s="725"/>
      <c r="BS25" s="725"/>
      <c r="BT25" s="725"/>
      <c r="BU25" s="725"/>
      <c r="BV25" s="725"/>
      <c r="BW25" s="725"/>
      <c r="BX25" s="725"/>
      <c r="BY25" s="725"/>
      <c r="BZ25" s="725"/>
      <c r="CA25" s="725"/>
      <c r="CB25" s="725"/>
      <c r="CC25" s="725"/>
      <c r="CD25" s="725"/>
      <c r="CE25" s="725"/>
      <c r="CF25" s="725"/>
      <c r="CG25" s="725"/>
      <c r="CH25" s="725"/>
      <c r="CI25" s="725"/>
      <c r="CJ25" s="725"/>
      <c r="CK25" s="725"/>
      <c r="CL25" s="725"/>
      <c r="CM25" s="725"/>
      <c r="CN25" s="725"/>
      <c r="CO25" s="725"/>
      <c r="CP25" s="725"/>
      <c r="CQ25" s="725"/>
      <c r="CR25" s="725"/>
    </row>
    <row r="26" spans="1:96" s="742" customFormat="1" ht="27" thickBot="1">
      <c r="A26" s="550" t="s">
        <v>125</v>
      </c>
      <c r="B26" s="551" t="s">
        <v>126</v>
      </c>
      <c r="C26" s="836">
        <f>+'99'!C26-('13'!C26+'14'!C26+Law!C26+'26'!C26+'27'!C26+'40'!C26+Den!C26+Med!C26+'52'!C26)</f>
        <v>1</v>
      </c>
      <c r="D26" s="836">
        <f>+'99'!D26-('13'!D26+'14'!D26+Law!D26+'26'!D26+'27'!D26+'40'!D26+Den!D26+Med!D26+'52'!D26)</f>
        <v>1</v>
      </c>
      <c r="E26" s="836">
        <f>+'99'!E26-('13'!E26+'14'!E26+Law!E26+'26'!E26+'27'!E26+'40'!E26+Den!E26+Med!E26+'52'!E26)</f>
        <v>101</v>
      </c>
      <c r="F26" s="836">
        <f>+'99'!F26-('13'!F26+'14'!F26+Law!F26+'26'!F26+'27'!F26+'40'!F26+Den!F26+Med!F26+'52'!F26)</f>
        <v>109</v>
      </c>
      <c r="G26" s="836">
        <f>+'99'!G26-('13'!G26+'14'!G26+Law!G26+'26'!G26+'27'!G26+'40'!G26+Den!G26+Med!G26+'52'!G26)</f>
        <v>0</v>
      </c>
      <c r="H26" s="836">
        <f>+'99'!H26-('13'!H26+'14'!H26+Law!H26+'26'!H26+'27'!H26+'40'!H26+Den!H26+Med!H26+'52'!H26)</f>
        <v>7</v>
      </c>
      <c r="I26" s="836">
        <f>+'99'!I26-('13'!I26+'14'!I26+Law!I26+'26'!I26+'27'!I26+'40'!I26+Den!I26+Med!I26+'52'!I26)</f>
        <v>36</v>
      </c>
      <c r="J26" s="836">
        <f>+'99'!J26-('13'!J26+'14'!J26+Law!J26+'26'!J26+'27'!J26+'40'!J26+Den!J26+Med!J26+'52'!J26)</f>
        <v>51</v>
      </c>
      <c r="K26" s="836">
        <f>+'99'!K26-('13'!K26+'14'!K26+Law!K26+'26'!K26+'27'!K26+'40'!K26+Den!K26+Med!K26+'52'!K26)</f>
        <v>212</v>
      </c>
      <c r="L26" s="836">
        <f>+'99'!L26-('13'!L26+'14'!L26+Law!L26+'26'!L26+'27'!L26+'40'!L26+Den!L26+Med!L26+'52'!L26)</f>
        <v>337</v>
      </c>
      <c r="M26" s="836">
        <f>+'99'!M26-('13'!M26+'14'!M26+Law!M26+'26'!M26+'27'!M26+'40'!M26+Den!M26+Med!M26+'52'!M26)</f>
        <v>503</v>
      </c>
      <c r="N26" s="836">
        <f>+'99'!N26-('13'!N26+'14'!N26+Law!N26+'26'!N26+'27'!N26+'40'!N26+Den!N26+Med!N26+'52'!N26)</f>
        <v>640</v>
      </c>
      <c r="O26" s="836">
        <f>+'99'!O26-('13'!O26+'14'!O26+Law!O26+'26'!O26+'27'!O26+'40'!O26+Den!O26+Med!O26+'52'!O26)</f>
        <v>12</v>
      </c>
      <c r="P26" s="836">
        <f>+'99'!P26-('13'!P26+'14'!P26+Law!P26+'26'!P26+'27'!P26+'40'!P26+Den!P26+Med!P26+'52'!P26)</f>
        <v>23</v>
      </c>
      <c r="Q26" s="836">
        <f>+'99'!Q26-('13'!Q26+'14'!Q26+Law!Q26+'26'!Q26+'27'!Q26+'40'!Q26+Den!Q26+Med!Q26+'52'!Q26)</f>
        <v>0</v>
      </c>
      <c r="R26" s="836">
        <f>+'99'!R26-('13'!R26+'14'!R26+Law!R26+'26'!R26+'27'!R26+'40'!R26+Den!R26+Med!R26+'52'!R26)</f>
        <v>0</v>
      </c>
      <c r="S26" s="836">
        <f>+'99'!S26-('13'!S26+'14'!S26+Law!S26+'26'!S26+'27'!S26+'40'!S26+Den!S26+Med!S26+'52'!S26)</f>
        <v>44</v>
      </c>
      <c r="T26" s="836">
        <f>+'99'!T26-('13'!T26+'14'!T26+Law!T26+'26'!T26+'27'!T26+'40'!T26+Den!T26+Med!T26+'52'!T26)</f>
        <v>59</v>
      </c>
      <c r="U26" s="837">
        <f t="shared" si="0"/>
        <v>909</v>
      </c>
      <c r="V26" s="837">
        <f t="shared" si="0"/>
        <v>1227</v>
      </c>
      <c r="W26" s="553">
        <f t="shared" si="1"/>
        <v>2136</v>
      </c>
      <c r="X26" s="741"/>
      <c r="Y26" s="726"/>
      <c r="Z26" s="726"/>
      <c r="AA26" s="726"/>
      <c r="AB26" s="726"/>
      <c r="AC26" s="726"/>
      <c r="AD26" s="726"/>
      <c r="AE26" s="726"/>
      <c r="AF26" s="726"/>
      <c r="AG26" s="726"/>
      <c r="AH26" s="726"/>
      <c r="AI26" s="726"/>
      <c r="AJ26" s="726"/>
      <c r="AK26" s="726"/>
      <c r="AL26" s="726"/>
      <c r="AM26" s="726"/>
      <c r="AN26" s="726"/>
      <c r="AO26" s="726"/>
      <c r="AP26" s="726"/>
      <c r="AQ26" s="726"/>
      <c r="AR26" s="726"/>
      <c r="AS26" s="726"/>
      <c r="AT26" s="726"/>
      <c r="AU26" s="726"/>
      <c r="AV26" s="726"/>
      <c r="AW26" s="726"/>
      <c r="AX26" s="726"/>
      <c r="AY26" s="726"/>
      <c r="AZ26" s="726"/>
      <c r="BA26" s="726"/>
      <c r="BB26" s="726"/>
      <c r="BC26" s="726"/>
      <c r="BD26" s="726"/>
      <c r="BE26" s="726"/>
      <c r="BF26" s="726"/>
      <c r="BG26" s="726"/>
      <c r="BH26" s="726"/>
      <c r="BI26" s="726"/>
      <c r="BJ26" s="726"/>
      <c r="BK26" s="726"/>
      <c r="BL26" s="726"/>
      <c r="BM26" s="726"/>
      <c r="BN26" s="726"/>
      <c r="BO26" s="726"/>
      <c r="BP26" s="726"/>
      <c r="BQ26" s="726"/>
      <c r="BR26" s="726"/>
      <c r="BS26" s="726"/>
      <c r="BT26" s="726"/>
      <c r="BU26" s="726"/>
      <c r="BV26" s="726"/>
      <c r="BW26" s="726"/>
      <c r="BX26" s="726"/>
      <c r="BY26" s="726"/>
      <c r="BZ26" s="726"/>
      <c r="CA26" s="726"/>
      <c r="CB26" s="726"/>
      <c r="CC26" s="726"/>
      <c r="CD26" s="726"/>
      <c r="CE26" s="726"/>
      <c r="CF26" s="726"/>
      <c r="CG26" s="726"/>
      <c r="CH26" s="726"/>
      <c r="CI26" s="726"/>
      <c r="CJ26" s="726"/>
      <c r="CK26" s="726"/>
      <c r="CL26" s="726"/>
      <c r="CM26" s="726"/>
      <c r="CN26" s="726"/>
      <c r="CO26" s="726"/>
      <c r="CP26" s="726"/>
      <c r="CQ26" s="726"/>
      <c r="CR26" s="726"/>
    </row>
    <row r="27" spans="1:96" ht="18" hidden="1" customHeight="1" thickTop="1">
      <c r="A27" s="548" t="s">
        <v>127</v>
      </c>
      <c r="B27" s="733"/>
      <c r="C27" s="683"/>
      <c r="D27" s="683"/>
      <c r="E27" s="683"/>
      <c r="F27" s="683"/>
      <c r="G27" s="683"/>
      <c r="H27" s="683"/>
      <c r="I27" s="683"/>
      <c r="J27" s="683"/>
      <c r="K27" s="683"/>
      <c r="L27" s="683"/>
      <c r="M27" s="683"/>
      <c r="N27" s="683"/>
      <c r="O27" s="683"/>
      <c r="P27" s="683"/>
      <c r="Q27" s="683"/>
      <c r="R27" s="683"/>
      <c r="S27" s="683"/>
      <c r="T27" s="683"/>
      <c r="U27" s="621"/>
      <c r="V27" s="621"/>
      <c r="W27" s="48"/>
      <c r="X27" s="740"/>
    </row>
    <row r="28" spans="1:96" s="730" customFormat="1" ht="13.15" hidden="1">
      <c r="A28" s="38" t="s">
        <v>128</v>
      </c>
      <c r="B28" s="34" t="s">
        <v>129</v>
      </c>
      <c r="C28" s="286">
        <f>+'99'!C28-('13'!C28+'14'!C28+Law!C28+'26'!C28+'27'!C28+'40'!C28+Den!C28+Med!C28+'52'!C28)</f>
        <v>0</v>
      </c>
      <c r="D28" s="286">
        <f>+'99'!D28-('13'!D28+'14'!D28+Law!D28+'26'!D28+'27'!D28+'40'!D28+Den!D28+Med!D28+'52'!D28)</f>
        <v>0</v>
      </c>
      <c r="E28" s="286">
        <f>+'99'!E28-('13'!E28+'14'!E28+Law!E28+'26'!E28+'27'!E28+'40'!E28+Den!E28+Med!E28+'52'!E28)</f>
        <v>0</v>
      </c>
      <c r="F28" s="286">
        <f>+'99'!F28-('13'!F28+'14'!F28+Law!F28+'26'!F28+'27'!F28+'40'!F28+Den!F28+Med!F28+'52'!F28)</f>
        <v>0</v>
      </c>
      <c r="G28" s="286">
        <f>+'99'!G28-('13'!G28+'14'!G28+Law!G28+'26'!G28+'27'!G28+'40'!G28+Den!G28+Med!G28+'52'!G28)</f>
        <v>0</v>
      </c>
      <c r="H28" s="286">
        <f>+'99'!H28-('13'!H28+'14'!H28+Law!H28+'26'!H28+'27'!H28+'40'!H28+Den!H28+Med!H28+'52'!H28)</f>
        <v>0</v>
      </c>
      <c r="I28" s="286">
        <f>+'99'!I28-('13'!I28+'14'!I28+Law!I28+'26'!I28+'27'!I28+'40'!I28+Den!I28+Med!I28+'52'!I28)</f>
        <v>0</v>
      </c>
      <c r="J28" s="286">
        <f>+'99'!J28-('13'!J28+'14'!J28+Law!J28+'26'!J28+'27'!J28+'40'!J28+Den!J28+Med!J28+'52'!J28)</f>
        <v>0</v>
      </c>
      <c r="K28" s="286">
        <f>+'99'!K28-('13'!K28+'14'!K28+Law!K28+'26'!K28+'27'!K28+'40'!K28+Den!K28+Med!K28+'52'!K28)</f>
        <v>0</v>
      </c>
      <c r="L28" s="286">
        <f>+'99'!L28-('13'!L28+'14'!L28+Law!L28+'26'!L28+'27'!L28+'40'!L28+Den!L28+Med!L28+'52'!L28)</f>
        <v>0</v>
      </c>
      <c r="M28" s="286">
        <f>+'99'!M28-('13'!M28+'14'!M28+Law!M28+'26'!M28+'27'!M28+'40'!M28+Den!M28+Med!M28+'52'!M28)</f>
        <v>0</v>
      </c>
      <c r="N28" s="286">
        <f>+'99'!N28-('13'!N28+'14'!N28+Law!N28+'26'!N28+'27'!N28+'40'!N28+Den!N28+Med!N28+'52'!N28)</f>
        <v>0</v>
      </c>
      <c r="O28" s="286">
        <f>+'99'!O28-('13'!O28+'14'!O28+Law!O28+'26'!O28+'27'!O28+'40'!O28+Den!O28+Med!O28+'52'!O28)</f>
        <v>0</v>
      </c>
      <c r="P28" s="286">
        <f>+'99'!P28-('13'!P28+'14'!P28+Law!P28+'26'!P28+'27'!P28+'40'!P28+Den!P28+Med!P28+'52'!P28)</f>
        <v>0</v>
      </c>
      <c r="Q28" s="280"/>
      <c r="R28" s="280"/>
      <c r="S28" s="280"/>
      <c r="T28" s="280"/>
      <c r="U28" s="47">
        <f>C28+E28+G28+I28+K28+M28+O28</f>
        <v>0</v>
      </c>
      <c r="V28" s="42">
        <f>D28+F28+H28+J28+L28+N28+P28</f>
        <v>0</v>
      </c>
      <c r="W28" s="44">
        <f>+V28+U28</f>
        <v>0</v>
      </c>
      <c r="X28" s="740"/>
      <c r="Y28" s="725"/>
      <c r="Z28" s="725"/>
      <c r="AA28" s="725"/>
      <c r="AB28" s="725"/>
      <c r="AC28" s="725"/>
      <c r="AD28" s="725"/>
      <c r="AE28" s="725"/>
      <c r="AF28" s="725"/>
      <c r="AG28" s="725"/>
      <c r="AH28" s="725"/>
      <c r="AI28" s="725"/>
      <c r="AJ28" s="725"/>
      <c r="AK28" s="725"/>
      <c r="AL28" s="725"/>
      <c r="AM28" s="725"/>
      <c r="AN28" s="725"/>
      <c r="AO28" s="725"/>
      <c r="AP28" s="725"/>
      <c r="AQ28" s="725"/>
      <c r="AR28" s="725"/>
      <c r="AS28" s="725"/>
      <c r="AT28" s="725"/>
      <c r="AU28" s="725"/>
      <c r="AV28" s="725"/>
      <c r="AW28" s="725"/>
      <c r="AX28" s="725"/>
      <c r="AY28" s="725"/>
      <c r="AZ28" s="725"/>
      <c r="BA28" s="725"/>
      <c r="BB28" s="725"/>
      <c r="BC28" s="725"/>
      <c r="BD28" s="725"/>
      <c r="BE28" s="725"/>
      <c r="BF28" s="725"/>
      <c r="BG28" s="725"/>
      <c r="BH28" s="725"/>
      <c r="BI28" s="725"/>
      <c r="BJ28" s="725"/>
      <c r="BK28" s="725"/>
      <c r="BL28" s="725"/>
      <c r="BM28" s="725"/>
      <c r="BN28" s="725"/>
      <c r="BO28" s="725"/>
      <c r="BP28" s="725"/>
      <c r="BQ28" s="725"/>
      <c r="BR28" s="725"/>
      <c r="BS28" s="725"/>
      <c r="BT28" s="725"/>
      <c r="BU28" s="725"/>
      <c r="BV28" s="725"/>
      <c r="BW28" s="725"/>
      <c r="BX28" s="725"/>
      <c r="BY28" s="725"/>
      <c r="BZ28" s="725"/>
      <c r="CA28" s="725"/>
      <c r="CB28" s="725"/>
      <c r="CC28" s="725"/>
      <c r="CD28" s="725"/>
      <c r="CE28" s="725"/>
      <c r="CF28" s="725"/>
      <c r="CG28" s="725"/>
      <c r="CH28" s="725"/>
      <c r="CI28" s="725"/>
      <c r="CJ28" s="725"/>
      <c r="CK28" s="725"/>
      <c r="CL28" s="725"/>
      <c r="CM28" s="725"/>
      <c r="CN28" s="725"/>
      <c r="CO28" s="725"/>
      <c r="CP28" s="725"/>
      <c r="CQ28" s="725"/>
      <c r="CR28" s="725"/>
    </row>
    <row r="29" spans="1:96" s="730" customFormat="1" ht="13.9" hidden="1" thickBot="1">
      <c r="A29" s="604" t="s">
        <v>130</v>
      </c>
      <c r="B29" s="605" t="s">
        <v>131</v>
      </c>
      <c r="C29" s="286">
        <f>+'99'!C29-('13'!C29+'14'!C29+Law!C29+'26'!C29+'27'!C29+'40'!C29+Den!C29+Med!C29+'52'!C29)</f>
        <v>0</v>
      </c>
      <c r="D29" s="286">
        <f>+'99'!D29-('13'!D29+'14'!D29+Law!D29+'26'!D29+'27'!D29+'40'!D29+Den!D29+Med!D29+'52'!D29)</f>
        <v>0</v>
      </c>
      <c r="E29" s="286">
        <f>+'99'!E29-('13'!E29+'14'!E29+Law!E29+'26'!E29+'27'!E29+'40'!E29+Den!E29+Med!E29+'52'!E29)</f>
        <v>0</v>
      </c>
      <c r="F29" s="286">
        <f>+'99'!F29-('13'!F29+'14'!F29+Law!F29+'26'!F29+'27'!F29+'40'!F29+Den!F29+Med!F29+'52'!F29)</f>
        <v>0</v>
      </c>
      <c r="G29" s="286">
        <f>+'99'!G29-('13'!G29+'14'!G29+Law!G29+'26'!G29+'27'!G29+'40'!G29+Den!G29+Med!G29+'52'!G29)</f>
        <v>0</v>
      </c>
      <c r="H29" s="286">
        <f>+'99'!H29-('13'!H29+'14'!H29+Law!H29+'26'!H29+'27'!H29+'40'!H29+Den!H29+Med!H29+'52'!H29)</f>
        <v>0</v>
      </c>
      <c r="I29" s="286">
        <f>+'99'!I29-('13'!I29+'14'!I29+Law!I29+'26'!I29+'27'!I29+'40'!I29+Den!I29+Med!I29+'52'!I29)</f>
        <v>0</v>
      </c>
      <c r="J29" s="286">
        <f>+'99'!J29-('13'!J29+'14'!J29+Law!J29+'26'!J29+'27'!J29+'40'!J29+Den!J29+Med!J29+'52'!J29)</f>
        <v>0</v>
      </c>
      <c r="K29" s="286">
        <f>+'99'!K29-('13'!K29+'14'!K29+Law!K29+'26'!K29+'27'!K29+'40'!K29+Den!K29+Med!K29+'52'!K29)</f>
        <v>0</v>
      </c>
      <c r="L29" s="286">
        <f>+'99'!L29-('13'!L29+'14'!L29+Law!L29+'26'!L29+'27'!L29+'40'!L29+Den!L29+Med!L29+'52'!L29)</f>
        <v>0</v>
      </c>
      <c r="M29" s="286">
        <f>+'99'!M29-('13'!M29+'14'!M29+Law!M29+'26'!M29+'27'!M29+'40'!M29+Den!M29+Med!M29+'52'!M29)</f>
        <v>0</v>
      </c>
      <c r="N29" s="286">
        <f>+'99'!N29-('13'!N29+'14'!N29+Law!N29+'26'!N29+'27'!N29+'40'!N29+Den!N29+Med!N29+'52'!N29)</f>
        <v>0</v>
      </c>
      <c r="O29" s="286">
        <f>+'99'!O29-('13'!O29+'14'!O29+Law!O29+'26'!O29+'27'!O29+'40'!O29+Den!O29+Med!O29+'52'!O29)</f>
        <v>0</v>
      </c>
      <c r="P29" s="286">
        <f>+'99'!P29-('13'!P29+'14'!P29+Law!P29+'26'!P29+'27'!P29+'40'!P29+Den!P29+Med!P29+'52'!P29)</f>
        <v>0</v>
      </c>
      <c r="Q29" s="280"/>
      <c r="R29" s="280"/>
      <c r="S29" s="280"/>
      <c r="T29" s="280"/>
      <c r="U29" s="47">
        <f>C29+E29+G29+I29+K29+M29+O29</f>
        <v>0</v>
      </c>
      <c r="V29" s="42">
        <f>D29+F29+H29+J29+L29+N29+P29</f>
        <v>0</v>
      </c>
      <c r="W29" s="44">
        <f>+V29+U29</f>
        <v>0</v>
      </c>
      <c r="X29" s="740"/>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25"/>
      <c r="AY29" s="725"/>
      <c r="AZ29" s="725"/>
      <c r="BA29" s="725"/>
      <c r="BB29" s="725"/>
      <c r="BC29" s="725"/>
      <c r="BD29" s="725"/>
      <c r="BE29" s="725"/>
      <c r="BF29" s="725"/>
      <c r="BG29" s="725"/>
      <c r="BH29" s="725"/>
      <c r="BI29" s="725"/>
      <c r="BJ29" s="725"/>
      <c r="BK29" s="725"/>
      <c r="BL29" s="725"/>
      <c r="BM29" s="725"/>
      <c r="BN29" s="725"/>
      <c r="BO29" s="725"/>
      <c r="BP29" s="725"/>
      <c r="BQ29" s="725"/>
      <c r="BR29" s="725"/>
      <c r="BS29" s="725"/>
      <c r="BT29" s="725"/>
      <c r="BU29" s="725"/>
      <c r="BV29" s="725"/>
      <c r="BW29" s="725"/>
      <c r="BX29" s="725"/>
      <c r="BY29" s="725"/>
      <c r="BZ29" s="725"/>
      <c r="CA29" s="725"/>
      <c r="CB29" s="725"/>
      <c r="CC29" s="725"/>
      <c r="CD29" s="725"/>
      <c r="CE29" s="725"/>
      <c r="CF29" s="725"/>
      <c r="CG29" s="725"/>
      <c r="CH29" s="725"/>
      <c r="CI29" s="725"/>
      <c r="CJ29" s="725"/>
      <c r="CK29" s="725"/>
      <c r="CL29" s="725"/>
      <c r="CM29" s="725"/>
      <c r="CN29" s="725"/>
      <c r="CO29" s="725"/>
      <c r="CP29" s="725"/>
      <c r="CQ29" s="725"/>
      <c r="CR29" s="725"/>
    </row>
    <row r="30" spans="1:96" ht="18" thickTop="1">
      <c r="A30" s="548" t="s">
        <v>132</v>
      </c>
      <c r="B30" s="733"/>
      <c r="C30" s="683"/>
      <c r="D30" s="683"/>
      <c r="E30" s="683"/>
      <c r="F30" s="683"/>
      <c r="G30" s="683"/>
      <c r="H30" s="683"/>
      <c r="I30" s="683"/>
      <c r="J30" s="683"/>
      <c r="K30" s="683"/>
      <c r="L30" s="683"/>
      <c r="M30" s="683"/>
      <c r="N30" s="683"/>
      <c r="O30" s="683"/>
      <c r="P30" s="683"/>
      <c r="Q30" s="683"/>
      <c r="R30" s="683"/>
      <c r="S30" s="683"/>
      <c r="T30" s="683"/>
      <c r="U30" s="621"/>
      <c r="V30" s="621"/>
      <c r="W30" s="48"/>
    </row>
    <row r="31" spans="1:96" ht="13.15">
      <c r="A31" s="37" t="s">
        <v>133</v>
      </c>
      <c r="B31" s="736" t="s">
        <v>61</v>
      </c>
      <c r="C31" s="54"/>
      <c r="D31" s="54"/>
      <c r="E31" s="54"/>
      <c r="F31" s="54"/>
      <c r="G31" s="54"/>
      <c r="H31" s="54"/>
      <c r="I31" s="54"/>
      <c r="J31" s="54"/>
      <c r="K31" s="54"/>
      <c r="L31" s="54"/>
      <c r="M31" s="54"/>
      <c r="N31" s="54"/>
      <c r="O31" s="54"/>
      <c r="P31" s="54"/>
      <c r="Q31" s="54"/>
      <c r="R31" s="54"/>
      <c r="S31" s="54"/>
      <c r="T31" s="54"/>
      <c r="U31" s="55"/>
      <c r="V31" s="55"/>
      <c r="W31" s="47"/>
    </row>
    <row r="32" spans="1:96" s="730" customFormat="1" ht="13.15">
      <c r="A32" s="538" t="s">
        <v>134</v>
      </c>
      <c r="B32" s="22" t="s">
        <v>135</v>
      </c>
      <c r="C32" s="286">
        <f>+'99'!C32-('13'!C32+'14'!C32+Law!C32+'26'!C32+'27'!C32+'40'!C32+Den!C32+Med!C32+'52'!C32)</f>
        <v>0</v>
      </c>
      <c r="D32" s="286">
        <f>+'99'!D32-('13'!D32+'14'!D32+Law!D32+'26'!D32+'27'!D32+'40'!D32+Den!D32+Med!D32+'52'!D32)</f>
        <v>0</v>
      </c>
      <c r="E32" s="286">
        <f>+'99'!E32-('13'!E32+'14'!E32+Law!E32+'26'!E32+'27'!E32+'40'!E32+Den!E32+Med!E32+'52'!E32)</f>
        <v>1</v>
      </c>
      <c r="F32" s="286">
        <f>+'99'!F32-('13'!F32+'14'!F32+Law!F32+'26'!F32+'27'!F32+'40'!F32+Den!F32+Med!F32+'52'!F32)</f>
        <v>0</v>
      </c>
      <c r="G32" s="286">
        <f>+'99'!G32-('13'!G32+'14'!G32+Law!G32+'26'!G32+'27'!G32+'40'!G32+Den!G32+Med!G32+'52'!G32)</f>
        <v>0</v>
      </c>
      <c r="H32" s="286">
        <f>+'99'!H32-('13'!H32+'14'!H32+Law!H32+'26'!H32+'27'!H32+'40'!H32+Den!H32+Med!H32+'52'!H32)</f>
        <v>0</v>
      </c>
      <c r="I32" s="286">
        <f>+'99'!I32-('13'!I32+'14'!I32+Law!I32+'26'!I32+'27'!I32+'40'!I32+Den!I32+Med!I32+'52'!I32)</f>
        <v>0</v>
      </c>
      <c r="J32" s="286">
        <f>+'99'!J32-('13'!J32+'14'!J32+Law!J32+'26'!J32+'27'!J32+'40'!J32+Den!J32+Med!J32+'52'!J32)</f>
        <v>1</v>
      </c>
      <c r="K32" s="286">
        <f>+'99'!K32-('13'!K32+'14'!K32+Law!K32+'26'!K32+'27'!K32+'40'!K32+Den!K32+Med!K32+'52'!K32)</f>
        <v>1</v>
      </c>
      <c r="L32" s="286">
        <f>+'99'!L32-('13'!L32+'14'!L32+Law!L32+'26'!L32+'27'!L32+'40'!L32+Den!L32+Med!L32+'52'!L32)</f>
        <v>5</v>
      </c>
      <c r="M32" s="286">
        <f>+'99'!M32-('13'!M32+'14'!M32+Law!M32+'26'!M32+'27'!M32+'40'!M32+Den!M32+Med!M32+'52'!M32)</f>
        <v>5</v>
      </c>
      <c r="N32" s="286">
        <f>+'99'!N32-('13'!N32+'14'!N32+Law!N32+'26'!N32+'27'!N32+'40'!N32+Den!N32+Med!N32+'52'!N32)</f>
        <v>13</v>
      </c>
      <c r="O32" s="286">
        <f>+'99'!O32-('13'!O32+'14'!O32+Law!O32+'26'!O32+'27'!O32+'40'!O32+Den!O32+Med!O32+'52'!O32)</f>
        <v>0</v>
      </c>
      <c r="P32" s="286">
        <f>+'99'!P32-('13'!P32+'14'!P32+Law!P32+'26'!P32+'27'!P32+'40'!P32+Den!P32+Med!P32+'52'!P32)</f>
        <v>1</v>
      </c>
      <c r="Q32" s="286">
        <f>+'99'!Q32-('13'!Q32+'14'!Q32+Law!Q32+'26'!Q32+'27'!Q32+'40'!Q32+Den!Q32+Med!Q32+'52'!Q32)</f>
        <v>0</v>
      </c>
      <c r="R32" s="286">
        <f>+'99'!R32-('13'!R32+'14'!R32+Law!R32+'26'!R32+'27'!R32+'40'!R32+Den!R32+Med!R32+'52'!R32)</f>
        <v>1</v>
      </c>
      <c r="S32" s="286">
        <f>+'99'!S32-('13'!S32+'14'!S32+Law!S32+'26'!S32+'27'!S32+'40'!S32+Den!S32+Med!S32+'52'!S32)</f>
        <v>0</v>
      </c>
      <c r="T32" s="286">
        <f>+'99'!T32-('13'!T32+'14'!T32+Law!T32+'26'!T32+'27'!T32+'40'!T32+Den!T32+Med!T32+'52'!T32)</f>
        <v>0</v>
      </c>
      <c r="U32" s="47">
        <f t="shared" ref="U32:V35" si="2">C32+E32+G32+I32+K32+M32+O32+Q32+S32</f>
        <v>7</v>
      </c>
      <c r="V32" s="47">
        <f t="shared" si="2"/>
        <v>21</v>
      </c>
      <c r="W32" s="44">
        <f>+V32+U32</f>
        <v>28</v>
      </c>
      <c r="X32" s="740"/>
      <c r="Y32" s="725"/>
      <c r="Z32" s="725"/>
      <c r="AA32" s="725"/>
      <c r="AB32" s="725"/>
      <c r="AC32" s="725"/>
      <c r="AD32" s="725"/>
      <c r="AE32" s="725"/>
      <c r="AF32" s="725"/>
      <c r="AG32" s="725"/>
      <c r="AH32" s="725"/>
      <c r="AI32" s="725"/>
      <c r="AJ32" s="725"/>
      <c r="AK32" s="725"/>
      <c r="AL32" s="725"/>
      <c r="AM32" s="725"/>
      <c r="AN32" s="725"/>
      <c r="AO32" s="725"/>
      <c r="AP32" s="725"/>
      <c r="AQ32" s="725"/>
      <c r="AR32" s="725"/>
      <c r="AS32" s="725"/>
      <c r="AT32" s="725"/>
      <c r="AU32" s="725"/>
      <c r="AV32" s="725"/>
      <c r="AW32" s="725"/>
      <c r="AX32" s="725"/>
      <c r="AY32" s="725"/>
      <c r="AZ32" s="725"/>
      <c r="BA32" s="725"/>
      <c r="BB32" s="725"/>
      <c r="BC32" s="725"/>
      <c r="BD32" s="725"/>
      <c r="BE32" s="725"/>
      <c r="BF32" s="725"/>
      <c r="BG32" s="725"/>
      <c r="BH32" s="725"/>
      <c r="BI32" s="725"/>
      <c r="BJ32" s="725"/>
      <c r="BK32" s="725"/>
      <c r="BL32" s="725"/>
      <c r="BM32" s="725"/>
      <c r="BN32" s="725"/>
      <c r="BO32" s="725"/>
      <c r="BP32" s="725"/>
      <c r="BQ32" s="725"/>
      <c r="BR32" s="725"/>
      <c r="BS32" s="725"/>
      <c r="BT32" s="725"/>
      <c r="BU32" s="725"/>
      <c r="BV32" s="725"/>
      <c r="BW32" s="725"/>
      <c r="BX32" s="725"/>
      <c r="BY32" s="725"/>
      <c r="BZ32" s="725"/>
      <c r="CA32" s="725"/>
      <c r="CB32" s="725"/>
      <c r="CC32" s="725"/>
      <c r="CD32" s="725"/>
      <c r="CE32" s="725"/>
      <c r="CF32" s="725"/>
      <c r="CG32" s="725"/>
      <c r="CH32" s="725"/>
      <c r="CI32" s="725"/>
      <c r="CJ32" s="725"/>
      <c r="CK32" s="725"/>
      <c r="CL32" s="725"/>
      <c r="CM32" s="725"/>
      <c r="CN32" s="725"/>
      <c r="CO32" s="725"/>
      <c r="CP32" s="725"/>
      <c r="CQ32" s="725"/>
      <c r="CR32" s="725"/>
    </row>
    <row r="33" spans="1:96" s="730" customFormat="1" ht="13.15">
      <c r="A33" s="538" t="s">
        <v>136</v>
      </c>
      <c r="B33" s="22" t="s">
        <v>184</v>
      </c>
      <c r="C33" s="286">
        <f>+'99'!C33-('13'!C33+'14'!C33+Law!C33+'26'!C33+'27'!C33+'40'!C33+Den!C33+Med!C33+'52'!C33)</f>
        <v>0</v>
      </c>
      <c r="D33" s="286">
        <f>+'99'!D33-('13'!D33+'14'!D33+Law!D33+'26'!D33+'27'!D33+'40'!D33+Den!D33+Med!D33+'52'!D33)</f>
        <v>0</v>
      </c>
      <c r="E33" s="286">
        <f>+'99'!E33-('13'!E33+'14'!E33+Law!E33+'26'!E33+'27'!E33+'40'!E33+Den!E33+Med!E33+'52'!E33)</f>
        <v>1</v>
      </c>
      <c r="F33" s="286">
        <f>+'99'!F33-('13'!F33+'14'!F33+Law!F33+'26'!F33+'27'!F33+'40'!F33+Den!F33+Med!F33+'52'!F33)</f>
        <v>1</v>
      </c>
      <c r="G33" s="286">
        <f>+'99'!G33-('13'!G33+'14'!G33+Law!G33+'26'!G33+'27'!G33+'40'!G33+Den!G33+Med!G33+'52'!G33)</f>
        <v>0</v>
      </c>
      <c r="H33" s="286">
        <f>+'99'!H33-('13'!H33+'14'!H33+Law!H33+'26'!H33+'27'!H33+'40'!H33+Den!H33+Med!H33+'52'!H33)</f>
        <v>0</v>
      </c>
      <c r="I33" s="286">
        <f>+'99'!I33-('13'!I33+'14'!I33+Law!I33+'26'!I33+'27'!I33+'40'!I33+Den!I33+Med!I33+'52'!I33)</f>
        <v>0</v>
      </c>
      <c r="J33" s="286">
        <f>+'99'!J33-('13'!J33+'14'!J33+Law!J33+'26'!J33+'27'!J33+'40'!J33+Den!J33+Med!J33+'52'!J33)</f>
        <v>0</v>
      </c>
      <c r="K33" s="286">
        <f>+'99'!K33-('13'!K33+'14'!K33+Law!K33+'26'!K33+'27'!K33+'40'!K33+Den!K33+Med!K33+'52'!K33)</f>
        <v>0</v>
      </c>
      <c r="L33" s="286">
        <f>+'99'!L33-('13'!L33+'14'!L33+Law!L33+'26'!L33+'27'!L33+'40'!L33+Den!L33+Med!L33+'52'!L33)</f>
        <v>0</v>
      </c>
      <c r="M33" s="286">
        <f>+'99'!M33-('13'!M33+'14'!M33+Law!M33+'26'!M33+'27'!M33+'40'!M33+Den!M33+Med!M33+'52'!M33)</f>
        <v>8</v>
      </c>
      <c r="N33" s="286">
        <f>+'99'!N33-('13'!N33+'14'!N33+Law!N33+'26'!N33+'27'!N33+'40'!N33+Den!N33+Med!N33+'52'!N33)</f>
        <v>5</v>
      </c>
      <c r="O33" s="286">
        <f>+'99'!O33-('13'!O33+'14'!O33+Law!O33+'26'!O33+'27'!O33+'40'!O33+Den!O33+Med!O33+'52'!O33)</f>
        <v>0</v>
      </c>
      <c r="P33" s="286">
        <f>+'99'!P33-('13'!P33+'14'!P33+Law!P33+'26'!P33+'27'!P33+'40'!P33+Den!P33+Med!P33+'52'!P33)</f>
        <v>1</v>
      </c>
      <c r="Q33" s="286">
        <f>+'99'!Q33-('13'!Q33+'14'!Q33+Law!Q33+'26'!Q33+'27'!Q33+'40'!Q33+Den!Q33+Med!Q33+'52'!Q33)</f>
        <v>0</v>
      </c>
      <c r="R33" s="286">
        <f>+'99'!R33-('13'!R33+'14'!R33+Law!R33+'26'!R33+'27'!R33+'40'!R33+Den!R33+Med!R33+'52'!R33)</f>
        <v>0</v>
      </c>
      <c r="S33" s="286">
        <f>+'99'!S33-('13'!S33+'14'!S33+Law!S33+'26'!S33+'27'!S33+'40'!S33+Den!S33+Med!S33+'52'!S33)</f>
        <v>0</v>
      </c>
      <c r="T33" s="286">
        <f>+'99'!T33-('13'!T33+'14'!T33+Law!T33+'26'!T33+'27'!T33+'40'!T33+Den!T33+Med!T33+'52'!T33)</f>
        <v>0</v>
      </c>
      <c r="U33" s="47">
        <f t="shared" si="2"/>
        <v>9</v>
      </c>
      <c r="V33" s="47">
        <f t="shared" si="2"/>
        <v>7</v>
      </c>
      <c r="W33" s="44">
        <f>+V33+U33</f>
        <v>16</v>
      </c>
      <c r="X33" s="740"/>
      <c r="Y33" s="725"/>
      <c r="Z33" s="725"/>
      <c r="AA33" s="725"/>
      <c r="AB33" s="725"/>
      <c r="AC33" s="725"/>
      <c r="AD33" s="725"/>
      <c r="AE33" s="725"/>
      <c r="AF33" s="725"/>
      <c r="AG33" s="725"/>
      <c r="AH33" s="725"/>
      <c r="AI33" s="725"/>
      <c r="AJ33" s="725"/>
      <c r="AK33" s="725"/>
      <c r="AL33" s="725"/>
      <c r="AM33" s="725"/>
      <c r="AN33" s="725"/>
      <c r="AO33" s="725"/>
      <c r="AP33" s="725"/>
      <c r="AQ33" s="725"/>
      <c r="AR33" s="725"/>
      <c r="AS33" s="725"/>
      <c r="AT33" s="725"/>
      <c r="AU33" s="725"/>
      <c r="AV33" s="725"/>
      <c r="AW33" s="725"/>
      <c r="AX33" s="725"/>
      <c r="AY33" s="725"/>
      <c r="AZ33" s="725"/>
      <c r="BA33" s="725"/>
      <c r="BB33" s="725"/>
      <c r="BC33" s="725"/>
      <c r="BD33" s="725"/>
      <c r="BE33" s="725"/>
      <c r="BF33" s="725"/>
      <c r="BG33" s="725"/>
      <c r="BH33" s="725"/>
      <c r="BI33" s="725"/>
      <c r="BJ33" s="725"/>
      <c r="BK33" s="725"/>
      <c r="BL33" s="725"/>
      <c r="BM33" s="725"/>
      <c r="BN33" s="725"/>
      <c r="BO33" s="725"/>
      <c r="BP33" s="725"/>
      <c r="BQ33" s="725"/>
      <c r="BR33" s="725"/>
      <c r="BS33" s="725"/>
      <c r="BT33" s="725"/>
      <c r="BU33" s="725"/>
      <c r="BV33" s="725"/>
      <c r="BW33" s="725"/>
      <c r="BX33" s="725"/>
      <c r="BY33" s="725"/>
      <c r="BZ33" s="725"/>
      <c r="CA33" s="725"/>
      <c r="CB33" s="725"/>
      <c r="CC33" s="725"/>
      <c r="CD33" s="725"/>
      <c r="CE33" s="725"/>
      <c r="CF33" s="725"/>
      <c r="CG33" s="725"/>
      <c r="CH33" s="725"/>
      <c r="CI33" s="725"/>
      <c r="CJ33" s="725"/>
      <c r="CK33" s="725"/>
      <c r="CL33" s="725"/>
      <c r="CM33" s="725"/>
      <c r="CN33" s="725"/>
      <c r="CO33" s="725"/>
      <c r="CP33" s="725"/>
      <c r="CQ33" s="725"/>
      <c r="CR33" s="725"/>
    </row>
    <row r="34" spans="1:96" s="730" customFormat="1" ht="26.45">
      <c r="A34" s="547" t="s">
        <v>137</v>
      </c>
      <c r="B34" s="22" t="s">
        <v>138</v>
      </c>
      <c r="C34" s="286">
        <f>+'99'!C34-('13'!C34+'14'!C34+Law!C34+'26'!C34+'27'!C34+'40'!C34+Den!C34+Med!C34+'52'!C34)</f>
        <v>0</v>
      </c>
      <c r="D34" s="286">
        <f>+'99'!D34-('13'!D34+'14'!D34+Law!D34+'26'!D34+'27'!D34+'40'!D34+Den!D34+Med!D34+'52'!D34)</f>
        <v>0</v>
      </c>
      <c r="E34" s="286">
        <f>+'99'!E34-('13'!E34+'14'!E34+Law!E34+'26'!E34+'27'!E34+'40'!E34+Den!E34+Med!E34+'52'!E34)</f>
        <v>0</v>
      </c>
      <c r="F34" s="286">
        <f>+'99'!F34-('13'!F34+'14'!F34+Law!F34+'26'!F34+'27'!F34+'40'!F34+Den!F34+Med!F34+'52'!F34)</f>
        <v>0</v>
      </c>
      <c r="G34" s="286">
        <f>+'99'!G34-('13'!G34+'14'!G34+Law!G34+'26'!G34+'27'!G34+'40'!G34+Den!G34+Med!G34+'52'!G34)</f>
        <v>0</v>
      </c>
      <c r="H34" s="286">
        <f>+'99'!H34-('13'!H34+'14'!H34+Law!H34+'26'!H34+'27'!H34+'40'!H34+Den!H34+Med!H34+'52'!H34)</f>
        <v>0</v>
      </c>
      <c r="I34" s="286">
        <f>+'99'!I34-('13'!I34+'14'!I34+Law!I34+'26'!I34+'27'!I34+'40'!I34+Den!I34+Med!I34+'52'!I34)</f>
        <v>0</v>
      </c>
      <c r="J34" s="286">
        <f>+'99'!J34-('13'!J34+'14'!J34+Law!J34+'26'!J34+'27'!J34+'40'!J34+Den!J34+Med!J34+'52'!J34)</f>
        <v>0</v>
      </c>
      <c r="K34" s="286">
        <f>+'99'!K34-('13'!K34+'14'!K34+Law!K34+'26'!K34+'27'!K34+'40'!K34+Den!K34+Med!K34+'52'!K34)</f>
        <v>0</v>
      </c>
      <c r="L34" s="286">
        <f>+'99'!L34-('13'!L34+'14'!L34+Law!L34+'26'!L34+'27'!L34+'40'!L34+Den!L34+Med!L34+'52'!L34)</f>
        <v>0</v>
      </c>
      <c r="M34" s="286">
        <f>+'99'!M34-('13'!M34+'14'!M34+Law!M34+'26'!M34+'27'!M34+'40'!M34+Den!M34+Med!M34+'52'!M34)</f>
        <v>0</v>
      </c>
      <c r="N34" s="286">
        <f>+'99'!N34-('13'!N34+'14'!N34+Law!N34+'26'!N34+'27'!N34+'40'!N34+Den!N34+Med!N34+'52'!N34)</f>
        <v>0</v>
      </c>
      <c r="O34" s="286">
        <f>+'99'!O34-('13'!O34+'14'!O34+Law!O34+'26'!O34+'27'!O34+'40'!O34+Den!O34+Med!O34+'52'!O34)</f>
        <v>0</v>
      </c>
      <c r="P34" s="286">
        <f>+'99'!P34-('13'!P34+'14'!P34+Law!P34+'26'!P34+'27'!P34+'40'!P34+Den!P34+Med!P34+'52'!P34)</f>
        <v>0</v>
      </c>
      <c r="Q34" s="286">
        <f>+'99'!Q34-('13'!Q34+'14'!Q34+Law!Q34+'26'!Q34+'27'!Q34+'40'!Q34+Den!Q34+Med!Q34+'52'!Q34)</f>
        <v>0</v>
      </c>
      <c r="R34" s="286">
        <f>+'99'!R34-('13'!R34+'14'!R34+Law!R34+'26'!R34+'27'!R34+'40'!R34+Den!R34+Med!R34+'52'!R34)</f>
        <v>0</v>
      </c>
      <c r="S34" s="286">
        <f>+'99'!S34-('13'!S34+'14'!S34+Law!S34+'26'!S34+'27'!S34+'40'!S34+Den!S34+Med!S34+'52'!S34)</f>
        <v>0</v>
      </c>
      <c r="T34" s="286">
        <f>+'99'!T34-('13'!T34+'14'!T34+Law!T34+'26'!T34+'27'!T34+'40'!T34+Den!T34+Med!T34+'52'!T34)</f>
        <v>0</v>
      </c>
      <c r="U34" s="47">
        <f t="shared" si="2"/>
        <v>0</v>
      </c>
      <c r="V34" s="47">
        <f t="shared" si="2"/>
        <v>0</v>
      </c>
      <c r="W34" s="44">
        <f>+V34+U34</f>
        <v>0</v>
      </c>
      <c r="X34" s="740"/>
      <c r="Y34" s="725"/>
      <c r="Z34" s="725"/>
      <c r="AA34" s="725"/>
      <c r="AB34" s="725"/>
      <c r="AC34" s="725"/>
      <c r="AD34" s="725"/>
      <c r="AE34" s="725"/>
      <c r="AF34" s="725"/>
      <c r="AG34" s="725"/>
      <c r="AH34" s="725"/>
      <c r="AI34" s="725"/>
      <c r="AJ34" s="725"/>
      <c r="AK34" s="725"/>
      <c r="AL34" s="725"/>
      <c r="AM34" s="725"/>
      <c r="AN34" s="725"/>
      <c r="AO34" s="725"/>
      <c r="AP34" s="725"/>
      <c r="AQ34" s="725"/>
      <c r="AR34" s="725"/>
      <c r="AS34" s="725"/>
      <c r="AT34" s="725"/>
      <c r="AU34" s="725"/>
      <c r="AV34" s="725"/>
      <c r="AW34" s="725"/>
      <c r="AX34" s="725"/>
      <c r="AY34" s="725"/>
      <c r="AZ34" s="725"/>
      <c r="BA34" s="725"/>
      <c r="BB34" s="725"/>
      <c r="BC34" s="725"/>
      <c r="BD34" s="725"/>
      <c r="BE34" s="725"/>
      <c r="BF34" s="725"/>
      <c r="BG34" s="725"/>
      <c r="BH34" s="725"/>
      <c r="BI34" s="725"/>
      <c r="BJ34" s="725"/>
      <c r="BK34" s="725"/>
      <c r="BL34" s="725"/>
      <c r="BM34" s="725"/>
      <c r="BN34" s="725"/>
      <c r="BO34" s="725"/>
      <c r="BP34" s="725"/>
      <c r="BQ34" s="725"/>
      <c r="BR34" s="725"/>
      <c r="BS34" s="725"/>
      <c r="BT34" s="725"/>
      <c r="BU34" s="725"/>
      <c r="BV34" s="725"/>
      <c r="BW34" s="725"/>
      <c r="BX34" s="725"/>
      <c r="BY34" s="725"/>
      <c r="BZ34" s="725"/>
      <c r="CA34" s="725"/>
      <c r="CB34" s="725"/>
      <c r="CC34" s="725"/>
      <c r="CD34" s="725"/>
      <c r="CE34" s="725"/>
      <c r="CF34" s="725"/>
      <c r="CG34" s="725"/>
      <c r="CH34" s="725"/>
      <c r="CI34" s="725"/>
      <c r="CJ34" s="725"/>
      <c r="CK34" s="725"/>
      <c r="CL34" s="725"/>
      <c r="CM34" s="725"/>
      <c r="CN34" s="725"/>
      <c r="CO34" s="725"/>
      <c r="CP34" s="725"/>
      <c r="CQ34" s="725"/>
      <c r="CR34" s="725"/>
    </row>
    <row r="35" spans="1:96" s="742" customFormat="1" ht="27.75" customHeight="1">
      <c r="A35" s="636" t="s">
        <v>185</v>
      </c>
      <c r="B35" s="24" t="s">
        <v>140</v>
      </c>
      <c r="C35" s="286">
        <f>+'99'!C35-('13'!C35+'14'!C35+Law!C35+'26'!C35+'27'!C35+'40'!C35+Den!C35+Med!C35+'52'!C35)</f>
        <v>0</v>
      </c>
      <c r="D35" s="286">
        <f>+'99'!D35-('13'!D35+'14'!D35+Law!D35+'26'!D35+'27'!D35+'40'!D35+Den!D35+Med!D35+'52'!D35)</f>
        <v>0</v>
      </c>
      <c r="E35" s="286">
        <f>+'99'!E35-('13'!E35+'14'!E35+Law!E35+'26'!E35+'27'!E35+'40'!E35+Den!E35+Med!E35+'52'!E35)</f>
        <v>2</v>
      </c>
      <c r="F35" s="286">
        <f>+'99'!F35-('13'!F35+'14'!F35+Law!F35+'26'!F35+'27'!F35+'40'!F35+Den!F35+Med!F35+'52'!F35)</f>
        <v>1</v>
      </c>
      <c r="G35" s="286">
        <f>+'99'!G35-('13'!G35+'14'!G35+Law!G35+'26'!G35+'27'!G35+'40'!G35+Den!G35+Med!G35+'52'!G35)</f>
        <v>0</v>
      </c>
      <c r="H35" s="286">
        <f>+'99'!H35-('13'!H35+'14'!H35+Law!H35+'26'!H35+'27'!H35+'40'!H35+Den!H35+Med!H35+'52'!H35)</f>
        <v>0</v>
      </c>
      <c r="I35" s="286">
        <f>+'99'!I35-('13'!I35+'14'!I35+Law!I35+'26'!I35+'27'!I35+'40'!I35+Den!I35+Med!I35+'52'!I35)</f>
        <v>0</v>
      </c>
      <c r="J35" s="286">
        <f>+'99'!J35-('13'!J35+'14'!J35+Law!J35+'26'!J35+'27'!J35+'40'!J35+Den!J35+Med!J35+'52'!J35)</f>
        <v>1</v>
      </c>
      <c r="K35" s="286">
        <f>+'99'!K35-('13'!K35+'14'!K35+Law!K35+'26'!K35+'27'!K35+'40'!K35+Den!K35+Med!K35+'52'!K35)</f>
        <v>1</v>
      </c>
      <c r="L35" s="286">
        <f>+'99'!L35-('13'!L35+'14'!L35+Law!L35+'26'!L35+'27'!L35+'40'!L35+Den!L35+Med!L35+'52'!L35)</f>
        <v>5</v>
      </c>
      <c r="M35" s="286">
        <f>+'99'!M35-('13'!M35+'14'!M35+Law!M35+'26'!M35+'27'!M35+'40'!M35+Den!M35+Med!M35+'52'!M35)</f>
        <v>13</v>
      </c>
      <c r="N35" s="286">
        <f>+'99'!N35-('13'!N35+'14'!N35+Law!N35+'26'!N35+'27'!N35+'40'!N35+Den!N35+Med!N35+'52'!N35)</f>
        <v>18</v>
      </c>
      <c r="O35" s="286">
        <f>+'99'!O35-('13'!O35+'14'!O35+Law!O35+'26'!O35+'27'!O35+'40'!O35+Den!O35+Med!O35+'52'!O35)</f>
        <v>0</v>
      </c>
      <c r="P35" s="286">
        <f>+'99'!P35-('13'!P35+'14'!P35+Law!P35+'26'!P35+'27'!P35+'40'!P35+Den!P35+Med!P35+'52'!P35)</f>
        <v>2</v>
      </c>
      <c r="Q35" s="286">
        <f>+'99'!Q35-('13'!Q35+'14'!Q35+Law!Q35+'26'!Q35+'27'!Q35+'40'!Q35+Den!Q35+Med!Q35+'52'!Q35)</f>
        <v>0</v>
      </c>
      <c r="R35" s="286">
        <f>+'99'!R35-('13'!R35+'14'!R35+Law!R35+'26'!R35+'27'!R35+'40'!R35+Den!R35+Med!R35+'52'!R35)</f>
        <v>1</v>
      </c>
      <c r="S35" s="286">
        <f>+'99'!S35-('13'!S35+'14'!S35+Law!S35+'26'!S35+'27'!S35+'40'!S35+Den!S35+Med!S35+'52'!S35)</f>
        <v>0</v>
      </c>
      <c r="T35" s="286">
        <f>+'99'!T35-('13'!T35+'14'!T35+Law!T35+'26'!T35+'27'!T35+'40'!T35+Den!T35+Med!T35+'52'!T35)</f>
        <v>0</v>
      </c>
      <c r="U35" s="47">
        <f t="shared" si="2"/>
        <v>16</v>
      </c>
      <c r="V35" s="47">
        <f t="shared" si="2"/>
        <v>28</v>
      </c>
      <c r="W35" s="44">
        <f>+V35+U35</f>
        <v>44</v>
      </c>
      <c r="X35" s="740"/>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row>
    <row r="36" spans="1:96" ht="25.5" customHeight="1"/>
    <row r="37" spans="1:96" ht="15.6">
      <c r="A37" s="744" t="str">
        <f>+A12&amp;" "&amp;A10&amp;" PART A (Continued)"</f>
        <v>900000 ALL OTHER STUDENTS PART A (Continued)</v>
      </c>
      <c r="B37" s="745" t="str">
        <f>A1</f>
        <v>FALL ENROLLMENT 2021</v>
      </c>
      <c r="C37" s="746"/>
      <c r="D37" s="746"/>
      <c r="E37" s="746"/>
      <c r="F37" s="746"/>
      <c r="G37" s="746"/>
      <c r="H37" s="746"/>
      <c r="I37" s="746"/>
      <c r="J37" s="746"/>
      <c r="K37" s="746"/>
      <c r="L37" s="746"/>
      <c r="M37" s="746"/>
      <c r="N37" s="746"/>
      <c r="O37" s="746"/>
      <c r="P37" s="746"/>
      <c r="Q37" s="746"/>
      <c r="R37" s="746"/>
      <c r="S37" s="746"/>
      <c r="T37" s="746"/>
      <c r="U37" s="726" t="s">
        <v>61</v>
      </c>
    </row>
    <row r="38" spans="1:96" ht="15.6">
      <c r="A38" s="250">
        <f>A4</f>
        <v>130776</v>
      </c>
      <c r="B38" s="745"/>
      <c r="C38" s="746"/>
      <c r="D38" s="746"/>
      <c r="E38" s="746"/>
      <c r="F38" s="746"/>
      <c r="G38" s="746"/>
      <c r="H38" s="746"/>
      <c r="I38" s="746"/>
      <c r="J38" s="746"/>
      <c r="K38" s="746"/>
      <c r="L38" s="746"/>
      <c r="M38" s="746"/>
      <c r="N38" s="746"/>
      <c r="O38" s="746"/>
      <c r="P38" s="746"/>
      <c r="Q38" s="746"/>
      <c r="R38" s="746"/>
      <c r="S38" s="746"/>
      <c r="T38" s="746"/>
    </row>
    <row r="39" spans="1:96" s="730" customFormat="1" ht="13.15">
      <c r="A39" s="747" t="s">
        <v>61</v>
      </c>
      <c r="B39" s="731"/>
      <c r="C39" s="732"/>
      <c r="D39" s="732"/>
      <c r="E39" s="732"/>
      <c r="F39" s="732"/>
      <c r="G39" s="732"/>
      <c r="H39" s="732"/>
      <c r="I39" s="732"/>
      <c r="J39" s="732"/>
      <c r="K39" s="732"/>
      <c r="L39" s="732"/>
      <c r="M39" s="732"/>
      <c r="N39" s="732"/>
      <c r="O39" s="732"/>
      <c r="P39" s="732"/>
      <c r="Q39" s="732"/>
      <c r="R39" s="732"/>
      <c r="S39" s="732"/>
      <c r="T39" s="732"/>
      <c r="U39" s="732"/>
      <c r="V39" s="732"/>
      <c r="W39" s="732"/>
      <c r="X39" s="725"/>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725"/>
      <c r="AW39" s="725"/>
      <c r="AX39" s="725"/>
      <c r="AY39" s="725"/>
      <c r="AZ39" s="725"/>
      <c r="BA39" s="725"/>
      <c r="BB39" s="725"/>
      <c r="BC39" s="725"/>
      <c r="BD39" s="725"/>
      <c r="BE39" s="725"/>
      <c r="BF39" s="725"/>
      <c r="BG39" s="725"/>
      <c r="BH39" s="725"/>
      <c r="BI39" s="725"/>
      <c r="BJ39" s="725"/>
      <c r="BK39" s="725"/>
      <c r="BL39" s="725"/>
      <c r="BM39" s="725"/>
      <c r="BN39" s="725"/>
      <c r="BO39" s="725"/>
      <c r="BP39" s="725"/>
      <c r="BQ39" s="725"/>
      <c r="BR39" s="725"/>
      <c r="BS39" s="725"/>
      <c r="BT39" s="725"/>
      <c r="BU39" s="725"/>
      <c r="BV39" s="725"/>
      <c r="BW39" s="725"/>
      <c r="BX39" s="725"/>
      <c r="BY39" s="725"/>
      <c r="BZ39" s="725"/>
      <c r="CA39" s="725"/>
      <c r="CB39" s="725"/>
      <c r="CC39" s="725"/>
      <c r="CD39" s="725"/>
      <c r="CE39" s="725"/>
      <c r="CF39" s="725"/>
      <c r="CG39" s="725"/>
      <c r="CH39" s="725"/>
      <c r="CI39" s="725"/>
      <c r="CJ39" s="725"/>
      <c r="CK39" s="725"/>
      <c r="CL39" s="725"/>
      <c r="CM39" s="725"/>
      <c r="CN39" s="725"/>
      <c r="CO39" s="725"/>
      <c r="CP39" s="725"/>
      <c r="CQ39" s="725"/>
      <c r="CR39" s="725"/>
    </row>
    <row r="40" spans="1:96">
      <c r="A40" s="999" t="str">
        <f>+A10</f>
        <v>ALL OTHER STUDENTS</v>
      </c>
      <c r="B40" s="36"/>
      <c r="C40" s="991" t="s">
        <v>54</v>
      </c>
      <c r="D40" s="992"/>
      <c r="E40" s="991" t="s">
        <v>55</v>
      </c>
      <c r="F40" s="992"/>
      <c r="G40" s="991" t="s">
        <v>56</v>
      </c>
      <c r="H40" s="992"/>
      <c r="I40" s="991"/>
      <c r="J40" s="992"/>
      <c r="K40" s="991" t="s">
        <v>57</v>
      </c>
      <c r="L40" s="992"/>
      <c r="M40" s="991"/>
      <c r="N40" s="992"/>
      <c r="O40" s="991" t="s">
        <v>58</v>
      </c>
      <c r="P40" s="992"/>
      <c r="Q40" s="991" t="s">
        <v>59</v>
      </c>
      <c r="R40" s="992"/>
      <c r="S40" s="991" t="s">
        <v>60</v>
      </c>
      <c r="T40" s="992"/>
      <c r="U40" s="59" t="s">
        <v>61</v>
      </c>
      <c r="V40" s="60"/>
      <c r="W40" s="61"/>
    </row>
    <row r="41" spans="1:96">
      <c r="A41" s="1026"/>
      <c r="B41" s="20"/>
      <c r="C41" s="993" t="s">
        <v>62</v>
      </c>
      <c r="D41" s="994"/>
      <c r="E41" s="993" t="s">
        <v>63</v>
      </c>
      <c r="F41" s="994"/>
      <c r="G41" s="993" t="s">
        <v>64</v>
      </c>
      <c r="H41" s="994"/>
      <c r="I41" s="993" t="s">
        <v>65</v>
      </c>
      <c r="J41" s="994"/>
      <c r="K41" s="993" t="s">
        <v>66</v>
      </c>
      <c r="L41" s="994"/>
      <c r="M41" s="993" t="s">
        <v>67</v>
      </c>
      <c r="N41" s="994"/>
      <c r="O41" s="993" t="s">
        <v>68</v>
      </c>
      <c r="P41" s="994"/>
      <c r="Q41" s="993" t="s">
        <v>69</v>
      </c>
      <c r="R41" s="994"/>
      <c r="S41" s="993" t="s">
        <v>70</v>
      </c>
      <c r="T41" s="994"/>
      <c r="U41" s="62" t="s">
        <v>71</v>
      </c>
      <c r="V41" s="63"/>
      <c r="W41" s="64"/>
    </row>
    <row r="42" spans="1:96" s="730" customFormat="1">
      <c r="A42" s="1001">
        <f>+A12</f>
        <v>900000</v>
      </c>
      <c r="B42" s="20"/>
      <c r="C42" s="995" t="s">
        <v>73</v>
      </c>
      <c r="D42" s="996"/>
      <c r="E42" s="995" t="s">
        <v>56</v>
      </c>
      <c r="F42" s="996"/>
      <c r="G42" s="995" t="s">
        <v>74</v>
      </c>
      <c r="H42" s="996"/>
      <c r="I42" s="995"/>
      <c r="J42" s="996"/>
      <c r="K42" s="995" t="s">
        <v>75</v>
      </c>
      <c r="L42" s="996"/>
      <c r="M42" s="995"/>
      <c r="N42" s="996"/>
      <c r="O42" s="995" t="s">
        <v>76</v>
      </c>
      <c r="P42" s="996"/>
      <c r="Q42" s="995" t="s">
        <v>77</v>
      </c>
      <c r="R42" s="996"/>
      <c r="S42" s="995" t="s">
        <v>78</v>
      </c>
      <c r="T42" s="996"/>
      <c r="U42" s="65" t="s">
        <v>79</v>
      </c>
      <c r="V42" s="66"/>
      <c r="W42" s="67"/>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5"/>
      <c r="BS42" s="725"/>
      <c r="BT42" s="725"/>
      <c r="BU42" s="725"/>
      <c r="BV42" s="725"/>
      <c r="BW42" s="725"/>
      <c r="BX42" s="725"/>
      <c r="BY42" s="725"/>
      <c r="BZ42" s="725"/>
      <c r="CA42" s="725"/>
      <c r="CB42" s="725"/>
      <c r="CC42" s="725"/>
      <c r="CD42" s="725"/>
      <c r="CE42" s="725"/>
      <c r="CF42" s="725"/>
      <c r="CG42" s="725"/>
      <c r="CH42" s="725"/>
      <c r="CI42" s="725"/>
      <c r="CJ42" s="725"/>
      <c r="CK42" s="725"/>
      <c r="CL42" s="725"/>
      <c r="CM42" s="725"/>
      <c r="CN42" s="725"/>
      <c r="CO42" s="725"/>
      <c r="CP42" s="725"/>
      <c r="CQ42" s="725"/>
      <c r="CR42" s="725"/>
    </row>
    <row r="43" spans="1:96">
      <c r="A43" s="1154"/>
      <c r="B43" s="20" t="s">
        <v>80</v>
      </c>
      <c r="C43" s="68" t="s">
        <v>81</v>
      </c>
      <c r="D43" s="23" t="s">
        <v>82</v>
      </c>
      <c r="E43" s="68" t="s">
        <v>81</v>
      </c>
      <c r="F43" s="23" t="s">
        <v>82</v>
      </c>
      <c r="G43" s="68" t="s">
        <v>81</v>
      </c>
      <c r="H43" s="23" t="s">
        <v>82</v>
      </c>
      <c r="I43" s="68" t="s">
        <v>81</v>
      </c>
      <c r="J43" s="23" t="s">
        <v>82</v>
      </c>
      <c r="K43" s="68" t="s">
        <v>81</v>
      </c>
      <c r="L43" s="23" t="s">
        <v>82</v>
      </c>
      <c r="M43" s="68" t="s">
        <v>81</v>
      </c>
      <c r="N43" s="23" t="s">
        <v>82</v>
      </c>
      <c r="O43" s="68" t="s">
        <v>81</v>
      </c>
      <c r="P43" s="23" t="s">
        <v>82</v>
      </c>
      <c r="Q43" s="68" t="s">
        <v>81</v>
      </c>
      <c r="R43" s="23" t="s">
        <v>82</v>
      </c>
      <c r="S43" s="68" t="s">
        <v>81</v>
      </c>
      <c r="T43" s="23" t="s">
        <v>82</v>
      </c>
      <c r="U43" s="69" t="s">
        <v>81</v>
      </c>
      <c r="V43" s="21" t="s">
        <v>82</v>
      </c>
      <c r="W43" s="21" t="s">
        <v>83</v>
      </c>
    </row>
    <row r="44" spans="1:96" s="730" customFormat="1" ht="13.15">
      <c r="A44" s="602" t="s">
        <v>84</v>
      </c>
      <c r="B44" s="19" t="s">
        <v>85</v>
      </c>
      <c r="C44" s="70" t="s">
        <v>86</v>
      </c>
      <c r="D44" s="70" t="s">
        <v>87</v>
      </c>
      <c r="E44" s="70" t="s">
        <v>88</v>
      </c>
      <c r="F44" s="70" t="s">
        <v>89</v>
      </c>
      <c r="G44" s="70" t="s">
        <v>90</v>
      </c>
      <c r="H44" s="70" t="s">
        <v>91</v>
      </c>
      <c r="I44" s="70" t="s">
        <v>92</v>
      </c>
      <c r="J44" s="70" t="s">
        <v>93</v>
      </c>
      <c r="K44" s="70" t="s">
        <v>94</v>
      </c>
      <c r="L44" s="70" t="s">
        <v>95</v>
      </c>
      <c r="M44" s="70" t="s">
        <v>96</v>
      </c>
      <c r="N44" s="70" t="s">
        <v>97</v>
      </c>
      <c r="O44" s="70" t="s">
        <v>98</v>
      </c>
      <c r="P44" s="70" t="s">
        <v>99</v>
      </c>
      <c r="Q44" s="70" t="s">
        <v>100</v>
      </c>
      <c r="R44" s="70" t="s">
        <v>101</v>
      </c>
      <c r="S44" s="70" t="s">
        <v>102</v>
      </c>
      <c r="T44" s="70" t="s">
        <v>103</v>
      </c>
      <c r="U44" s="71" t="s">
        <v>104</v>
      </c>
      <c r="V44" s="71" t="s">
        <v>105</v>
      </c>
      <c r="W44" s="71" t="s">
        <v>106</v>
      </c>
      <c r="X44" s="725"/>
      <c r="Y44" s="725"/>
      <c r="Z44" s="725"/>
      <c r="AA44" s="725"/>
      <c r="AB44" s="725"/>
      <c r="AC44" s="725"/>
      <c r="AD44" s="725"/>
      <c r="AE44" s="725"/>
      <c r="AF44" s="725"/>
      <c r="AG44" s="725"/>
      <c r="AH44" s="725"/>
      <c r="AI44" s="725"/>
      <c r="AJ44" s="725"/>
      <c r="AK44" s="725"/>
      <c r="AL44" s="725"/>
      <c r="AM44" s="725"/>
      <c r="AN44" s="725"/>
      <c r="AO44" s="725"/>
      <c r="AP44" s="725"/>
      <c r="AQ44" s="725"/>
      <c r="AR44" s="725"/>
      <c r="AS44" s="725"/>
      <c r="AT44" s="725"/>
      <c r="AU44" s="725"/>
      <c r="AV44" s="725"/>
      <c r="AW44" s="725"/>
      <c r="AX44" s="725"/>
      <c r="AY44" s="725"/>
      <c r="AZ44" s="725"/>
      <c r="BA44" s="725"/>
      <c r="BB44" s="725"/>
      <c r="BC44" s="725"/>
      <c r="BD44" s="725"/>
      <c r="BE44" s="725"/>
      <c r="BF44" s="725"/>
      <c r="BG44" s="725"/>
      <c r="BH44" s="725"/>
      <c r="BI44" s="725"/>
      <c r="BJ44" s="725"/>
      <c r="BK44" s="725"/>
      <c r="BL44" s="725"/>
      <c r="BM44" s="725"/>
      <c r="BN44" s="725"/>
      <c r="BO44" s="725"/>
      <c r="BP44" s="725"/>
      <c r="BQ44" s="725"/>
      <c r="BR44" s="725"/>
      <c r="BS44" s="725"/>
      <c r="BT44" s="725"/>
      <c r="BU44" s="725"/>
      <c r="BV44" s="725"/>
      <c r="BW44" s="725"/>
      <c r="BX44" s="725"/>
      <c r="BY44" s="725"/>
      <c r="BZ44" s="725"/>
      <c r="CA44" s="725"/>
      <c r="CB44" s="725"/>
      <c r="CC44" s="725"/>
      <c r="CD44" s="725"/>
      <c r="CE44" s="725"/>
      <c r="CF44" s="725"/>
      <c r="CG44" s="725"/>
      <c r="CH44" s="725"/>
      <c r="CI44" s="725"/>
      <c r="CJ44" s="725"/>
      <c r="CK44" s="725"/>
      <c r="CL44" s="725"/>
      <c r="CM44" s="725"/>
      <c r="CN44" s="725"/>
      <c r="CO44" s="725"/>
      <c r="CP44" s="725"/>
      <c r="CQ44" s="725"/>
      <c r="CR44" s="725"/>
    </row>
    <row r="45" spans="1:96" s="730" customFormat="1" ht="22.9">
      <c r="A45" s="987" t="s">
        <v>141</v>
      </c>
      <c r="B45" s="988"/>
      <c r="C45" s="988"/>
      <c r="D45" s="988"/>
      <c r="E45" s="988"/>
      <c r="F45" s="988"/>
      <c r="G45" s="988"/>
      <c r="H45" s="988"/>
      <c r="I45" s="988"/>
      <c r="J45" s="988"/>
      <c r="K45" s="988"/>
      <c r="L45" s="988"/>
      <c r="M45" s="988"/>
      <c r="N45" s="988"/>
      <c r="O45" s="988"/>
      <c r="P45" s="988"/>
      <c r="Q45" s="988"/>
      <c r="R45" s="988"/>
      <c r="S45" s="988"/>
      <c r="T45" s="988"/>
      <c r="U45" s="988"/>
      <c r="V45" s="988"/>
      <c r="W45" s="989"/>
      <c r="X45" s="725"/>
      <c r="Y45" s="725"/>
      <c r="Z45" s="725"/>
      <c r="AA45" s="725"/>
      <c r="AB45" s="725"/>
      <c r="AC45" s="725"/>
      <c r="AD45" s="725"/>
      <c r="AE45" s="725"/>
      <c r="AF45" s="725"/>
      <c r="AG45" s="725"/>
      <c r="AH45" s="725"/>
      <c r="AI45" s="725"/>
      <c r="AJ45" s="725"/>
      <c r="AK45" s="725"/>
      <c r="AL45" s="725"/>
      <c r="AM45" s="725"/>
      <c r="AN45" s="725"/>
      <c r="AO45" s="725"/>
      <c r="AP45" s="725"/>
      <c r="AQ45" s="725"/>
      <c r="AR45" s="725"/>
      <c r="AS45" s="725"/>
      <c r="AT45" s="725"/>
      <c r="AU45" s="725"/>
      <c r="AV45" s="725"/>
      <c r="AW45" s="725"/>
      <c r="AX45" s="725"/>
      <c r="AY45" s="725"/>
      <c r="AZ45" s="725"/>
      <c r="BA45" s="725"/>
      <c r="BB45" s="725"/>
      <c r="BC45" s="725"/>
      <c r="BD45" s="725"/>
      <c r="BE45" s="725"/>
      <c r="BF45" s="725"/>
      <c r="BG45" s="725"/>
      <c r="BH45" s="725"/>
      <c r="BI45" s="725"/>
      <c r="BJ45" s="725"/>
      <c r="BK45" s="725"/>
      <c r="BL45" s="725"/>
      <c r="BM45" s="725"/>
      <c r="BN45" s="725"/>
      <c r="BO45" s="725"/>
      <c r="BP45" s="725"/>
      <c r="BQ45" s="725"/>
      <c r="BR45" s="725"/>
      <c r="BS45" s="725"/>
      <c r="BT45" s="725"/>
      <c r="BU45" s="725"/>
      <c r="BV45" s="725"/>
      <c r="BW45" s="725"/>
      <c r="BX45" s="725"/>
      <c r="BY45" s="725"/>
      <c r="BZ45" s="725"/>
      <c r="CA45" s="725"/>
      <c r="CB45" s="725"/>
      <c r="CC45" s="725"/>
      <c r="CD45" s="725"/>
      <c r="CE45" s="725"/>
      <c r="CF45" s="725"/>
      <c r="CG45" s="725"/>
      <c r="CH45" s="725"/>
      <c r="CI45" s="725"/>
      <c r="CJ45" s="725"/>
      <c r="CK45" s="725"/>
      <c r="CL45" s="725"/>
      <c r="CM45" s="725"/>
      <c r="CN45" s="725"/>
      <c r="CO45" s="725"/>
      <c r="CP45" s="725"/>
      <c r="CQ45" s="725"/>
      <c r="CR45" s="725"/>
    </row>
    <row r="46" spans="1:96" ht="17.45">
      <c r="A46" s="548" t="s">
        <v>108</v>
      </c>
      <c r="B46" s="733"/>
      <c r="C46" s="734"/>
      <c r="D46" s="734"/>
      <c r="E46" s="734"/>
      <c r="F46" s="734"/>
      <c r="G46" s="734"/>
      <c r="H46" s="734"/>
      <c r="I46" s="734"/>
      <c r="J46" s="734"/>
      <c r="K46" s="734"/>
      <c r="L46" s="734"/>
      <c r="M46" s="734"/>
      <c r="N46" s="734"/>
      <c r="O46" s="734"/>
      <c r="P46" s="734"/>
      <c r="Q46" s="734"/>
      <c r="R46" s="734"/>
      <c r="S46" s="734"/>
      <c r="T46" s="734"/>
      <c r="U46" s="735"/>
      <c r="V46" s="735"/>
      <c r="W46" s="21"/>
    </row>
    <row r="47" spans="1:96" ht="13.15">
      <c r="A47" s="37" t="s">
        <v>133</v>
      </c>
      <c r="B47" s="736"/>
      <c r="C47" s="737"/>
      <c r="D47" s="737"/>
      <c r="E47" s="737"/>
      <c r="F47" s="737"/>
      <c r="G47" s="737"/>
      <c r="H47" s="737"/>
      <c r="I47" s="737"/>
      <c r="J47" s="737"/>
      <c r="K47" s="737"/>
      <c r="L47" s="737"/>
      <c r="M47" s="737"/>
      <c r="N47" s="737"/>
      <c r="O47" s="737"/>
      <c r="P47" s="737"/>
      <c r="Q47" s="737"/>
      <c r="R47" s="737"/>
      <c r="S47" s="737"/>
      <c r="T47" s="737"/>
      <c r="U47" s="738"/>
      <c r="V47" s="738"/>
      <c r="W47" s="739"/>
    </row>
    <row r="48" spans="1:96" s="730" customFormat="1" ht="13.15">
      <c r="A48" s="823" t="s">
        <v>110</v>
      </c>
      <c r="B48" s="34">
        <v>15</v>
      </c>
      <c r="C48" s="286">
        <f>+'99'!C48-('13'!C48+'14'!C48+Law!C48+'26'!C48+'27'!C48+'40'!C48+Den!C48+Med!C48+'52'!C48)</f>
        <v>0</v>
      </c>
      <c r="D48" s="286">
        <f>+'99'!D48-('13'!D48+'14'!D48+Law!D48+'26'!D48+'27'!D48+'40'!D48+Den!D48+Med!D48+'52'!D48)</f>
        <v>1</v>
      </c>
      <c r="E48" s="286">
        <f>+'99'!E48-('13'!E48+'14'!E48+Law!E48+'26'!E48+'27'!E48+'40'!E48+Den!E48+Med!E48+'52'!E48)</f>
        <v>0</v>
      </c>
      <c r="F48" s="286">
        <f>+'99'!F48-('13'!F48+'14'!F48+Law!F48+'26'!F48+'27'!F48+'40'!F48+Den!F48+Med!F48+'52'!F48)</f>
        <v>1</v>
      </c>
      <c r="G48" s="286">
        <f>+'99'!G48-('13'!G48+'14'!G48+Law!G48+'26'!G48+'27'!G48+'40'!G48+Den!G48+Med!G48+'52'!G48)</f>
        <v>0</v>
      </c>
      <c r="H48" s="286">
        <f>+'99'!H48-('13'!H48+'14'!H48+Law!H48+'26'!H48+'27'!H48+'40'!H48+Den!H48+Med!H48+'52'!H48)</f>
        <v>0</v>
      </c>
      <c r="I48" s="286">
        <f>+'99'!I48-('13'!I48+'14'!I48+Law!I48+'26'!I48+'27'!I48+'40'!I48+Den!I48+Med!I48+'52'!I48)</f>
        <v>0</v>
      </c>
      <c r="J48" s="286">
        <f>+'99'!J48-('13'!J48+'14'!J48+Law!J48+'26'!J48+'27'!J48+'40'!J48+Den!J48+Med!J48+'52'!J48)</f>
        <v>0</v>
      </c>
      <c r="K48" s="286">
        <f>+'99'!K48-('13'!K48+'14'!K48+Law!K48+'26'!K48+'27'!K48+'40'!K48+Den!K48+Med!K48+'52'!K48)</f>
        <v>4</v>
      </c>
      <c r="L48" s="286">
        <f>+'99'!L48-('13'!L48+'14'!L48+Law!L48+'26'!L48+'27'!L48+'40'!L48+Den!L48+Med!L48+'52'!L48)</f>
        <v>3</v>
      </c>
      <c r="M48" s="286">
        <f>+'99'!M48-('13'!M48+'14'!M48+Law!M48+'26'!M48+'27'!M48+'40'!M48+Den!M48+Med!M48+'52'!M48)</f>
        <v>5</v>
      </c>
      <c r="N48" s="286">
        <f>+'99'!N48-('13'!N48+'14'!N48+Law!N48+'26'!N48+'27'!N48+'40'!N48+Den!N48+Med!N48+'52'!N48)</f>
        <v>8</v>
      </c>
      <c r="O48" s="286">
        <f>+'99'!O48-('13'!O48+'14'!O48+Law!O48+'26'!O48+'27'!O48+'40'!O48+Den!O48+Med!O48+'52'!O48)</f>
        <v>0</v>
      </c>
      <c r="P48" s="286">
        <f>+'99'!P48-('13'!P48+'14'!P48+Law!P48+'26'!P48+'27'!P48+'40'!P48+Den!P48+Med!P48+'52'!P48)</f>
        <v>1</v>
      </c>
      <c r="Q48" s="286">
        <f>+'99'!Q48-('13'!Q48+'14'!Q48+Law!Q48+'26'!Q48+'27'!Q48+'40'!Q48+Den!Q48+Med!Q48+'52'!Q48)</f>
        <v>0</v>
      </c>
      <c r="R48" s="286">
        <f>+'99'!R48-('13'!R48+'14'!R48+Law!R48+'26'!R48+'27'!R48+'40'!R48+Den!R48+Med!R48+'52'!R48)</f>
        <v>0</v>
      </c>
      <c r="S48" s="286">
        <f>+'99'!S48-('13'!S48+'14'!S48+Law!S48+'26'!S48+'27'!S48+'40'!S48+Den!S48+Med!S48+'52'!S48)</f>
        <v>1</v>
      </c>
      <c r="T48" s="286">
        <f>+'99'!T48-('13'!T48+'14'!T48+Law!T48+'26'!T48+'27'!T48+'40'!T48+Den!T48+Med!T48+'52'!T48)</f>
        <v>0</v>
      </c>
      <c r="U48" s="47">
        <f>C48+E48+G48+I48+K48+M48+O48+Q48+S48</f>
        <v>10</v>
      </c>
      <c r="V48" s="47">
        <f>D48+F48+H48+J48+L48+N48+P48+R48+T48</f>
        <v>14</v>
      </c>
      <c r="W48" s="44">
        <f>+V48+U48</f>
        <v>24</v>
      </c>
      <c r="X48" s="740"/>
      <c r="Y48" s="725"/>
      <c r="Z48" s="725"/>
      <c r="AA48" s="725"/>
      <c r="AB48" s="725"/>
      <c r="AC48" s="725"/>
      <c r="AD48" s="725"/>
      <c r="AE48" s="725"/>
      <c r="AF48" s="725"/>
      <c r="AG48" s="725"/>
      <c r="AH48" s="725"/>
      <c r="AI48" s="725"/>
      <c r="AJ48" s="725"/>
      <c r="AK48" s="725"/>
      <c r="AL48" s="725"/>
      <c r="AM48" s="725"/>
      <c r="AN48" s="725"/>
      <c r="AO48" s="725"/>
      <c r="AP48" s="725"/>
      <c r="AQ48" s="725"/>
      <c r="AR48" s="725"/>
      <c r="AS48" s="725"/>
      <c r="AT48" s="725"/>
      <c r="AU48" s="725"/>
      <c r="AV48" s="725"/>
      <c r="AW48" s="725"/>
      <c r="AX48" s="725"/>
      <c r="AY48" s="725"/>
      <c r="AZ48" s="725"/>
      <c r="BA48" s="725"/>
      <c r="BB48" s="725"/>
      <c r="BC48" s="725"/>
      <c r="BD48" s="725"/>
      <c r="BE48" s="725"/>
      <c r="BF48" s="725"/>
      <c r="BG48" s="725"/>
      <c r="BH48" s="725"/>
      <c r="BI48" s="725"/>
      <c r="BJ48" s="725"/>
      <c r="BK48" s="725"/>
      <c r="BL48" s="725"/>
      <c r="BM48" s="725"/>
      <c r="BN48" s="725"/>
      <c r="BO48" s="725"/>
      <c r="BP48" s="725"/>
      <c r="BQ48" s="725"/>
      <c r="BR48" s="725"/>
      <c r="BS48" s="725"/>
      <c r="BT48" s="725"/>
      <c r="BU48" s="725"/>
      <c r="BV48" s="725"/>
      <c r="BW48" s="725"/>
      <c r="BX48" s="725"/>
      <c r="BY48" s="725"/>
      <c r="BZ48" s="725"/>
      <c r="CA48" s="725"/>
      <c r="CB48" s="725"/>
      <c r="CC48" s="725"/>
      <c r="CD48" s="725"/>
      <c r="CE48" s="725"/>
      <c r="CF48" s="725"/>
      <c r="CG48" s="725"/>
      <c r="CH48" s="725"/>
      <c r="CI48" s="725"/>
      <c r="CJ48" s="725"/>
      <c r="CK48" s="725"/>
      <c r="CL48" s="725"/>
      <c r="CM48" s="725"/>
      <c r="CN48" s="725"/>
      <c r="CO48" s="725"/>
      <c r="CP48" s="725"/>
      <c r="CQ48" s="725"/>
      <c r="CR48" s="725"/>
    </row>
    <row r="49" spans="1:96" s="730" customFormat="1" ht="13.15">
      <c r="A49" s="824" t="s">
        <v>112</v>
      </c>
      <c r="B49" s="22" t="s">
        <v>142</v>
      </c>
      <c r="C49" s="286">
        <f>+'99'!C49-('13'!C49+'14'!C49+Law!C49+'26'!C49+'27'!C49+'40'!C49+Den!C49+Med!C49+'52'!C49)</f>
        <v>0</v>
      </c>
      <c r="D49" s="286">
        <f>+'99'!D49-('13'!D49+'14'!D49+Law!D49+'26'!D49+'27'!D49+'40'!D49+Den!D49+Med!D49+'52'!D49)</f>
        <v>1</v>
      </c>
      <c r="E49" s="286">
        <f>+'99'!E49-('13'!E49+'14'!E49+Law!E49+'26'!E49+'27'!E49+'40'!E49+Den!E49+Med!E49+'52'!E49)</f>
        <v>4</v>
      </c>
      <c r="F49" s="286">
        <f>+'99'!F49-('13'!F49+'14'!F49+Law!F49+'26'!F49+'27'!F49+'40'!F49+Den!F49+Med!F49+'52'!F49)</f>
        <v>3</v>
      </c>
      <c r="G49" s="286">
        <f>+'99'!G49-('13'!G49+'14'!G49+Law!G49+'26'!G49+'27'!G49+'40'!G49+Den!G49+Med!G49+'52'!G49)</f>
        <v>0</v>
      </c>
      <c r="H49" s="286">
        <f>+'99'!H49-('13'!H49+'14'!H49+Law!H49+'26'!H49+'27'!H49+'40'!H49+Den!H49+Med!H49+'52'!H49)</f>
        <v>0</v>
      </c>
      <c r="I49" s="286">
        <f>+'99'!I49-('13'!I49+'14'!I49+Law!I49+'26'!I49+'27'!I49+'40'!I49+Den!I49+Med!I49+'52'!I49)</f>
        <v>1</v>
      </c>
      <c r="J49" s="286">
        <f>+'99'!J49-('13'!J49+'14'!J49+Law!J49+'26'!J49+'27'!J49+'40'!J49+Den!J49+Med!J49+'52'!J49)</f>
        <v>0</v>
      </c>
      <c r="K49" s="286">
        <f>+'99'!K49-('13'!K49+'14'!K49+Law!K49+'26'!K49+'27'!K49+'40'!K49+Den!K49+Med!K49+'52'!K49)</f>
        <v>2</v>
      </c>
      <c r="L49" s="286">
        <f>+'99'!L49-('13'!L49+'14'!L49+Law!L49+'26'!L49+'27'!L49+'40'!L49+Den!L49+Med!L49+'52'!L49)</f>
        <v>4</v>
      </c>
      <c r="M49" s="286">
        <f>+'99'!M49-('13'!M49+'14'!M49+Law!M49+'26'!M49+'27'!M49+'40'!M49+Den!M49+Med!M49+'52'!M49)</f>
        <v>4</v>
      </c>
      <c r="N49" s="286">
        <f>+'99'!N49-('13'!N49+'14'!N49+Law!N49+'26'!N49+'27'!N49+'40'!N49+Den!N49+Med!N49+'52'!N49)</f>
        <v>13</v>
      </c>
      <c r="O49" s="286">
        <f>+'99'!O49-('13'!O49+'14'!O49+Law!O49+'26'!O49+'27'!O49+'40'!O49+Den!O49+Med!O49+'52'!O49)</f>
        <v>0</v>
      </c>
      <c r="P49" s="286">
        <f>+'99'!P49-('13'!P49+'14'!P49+Law!P49+'26'!P49+'27'!P49+'40'!P49+Den!P49+Med!P49+'52'!P49)</f>
        <v>0</v>
      </c>
      <c r="Q49" s="286">
        <f>+'99'!Q49-('13'!Q49+'14'!Q49+Law!Q49+'26'!Q49+'27'!Q49+'40'!Q49+Den!Q49+Med!Q49+'52'!Q49)</f>
        <v>0</v>
      </c>
      <c r="R49" s="286">
        <f>+'99'!R49-('13'!R49+'14'!R49+Law!R49+'26'!R49+'27'!R49+'40'!R49+Den!R49+Med!R49+'52'!R49)</f>
        <v>0</v>
      </c>
      <c r="S49" s="286">
        <f>+'99'!S49-('13'!S49+'14'!S49+Law!S49+'26'!S49+'27'!S49+'40'!S49+Den!S49+Med!S49+'52'!S49)</f>
        <v>0</v>
      </c>
      <c r="T49" s="286">
        <f>+'99'!T49-('13'!T49+'14'!T49+Law!T49+'26'!T49+'27'!T49+'40'!T49+Den!T49+Med!T49+'52'!T49)</f>
        <v>0</v>
      </c>
      <c r="U49" s="47">
        <f>C49+E49+G49+I49+K49+M49+O49+Q49+S49</f>
        <v>11</v>
      </c>
      <c r="V49" s="47">
        <f>D49+F49+H49+J49+L49+N49+P49+R49+T49</f>
        <v>21</v>
      </c>
      <c r="W49" s="44">
        <f>+V49+U49</f>
        <v>32</v>
      </c>
      <c r="X49" s="740"/>
      <c r="Y49" s="725"/>
      <c r="Z49" s="725"/>
      <c r="AA49" s="725"/>
      <c r="AB49" s="725"/>
      <c r="AC49" s="725"/>
      <c r="AD49" s="725"/>
      <c r="AE49" s="725"/>
      <c r="AF49" s="725"/>
      <c r="AG49" s="725"/>
      <c r="AH49" s="725"/>
      <c r="AI49" s="725"/>
      <c r="AJ49" s="725"/>
      <c r="AK49" s="725"/>
      <c r="AL49" s="725"/>
      <c r="AM49" s="725"/>
      <c r="AN49" s="725"/>
      <c r="AO49" s="725"/>
      <c r="AP49" s="725"/>
      <c r="AQ49" s="725"/>
      <c r="AR49" s="725"/>
      <c r="AS49" s="725"/>
      <c r="AT49" s="725"/>
      <c r="AU49" s="725"/>
      <c r="AV49" s="725"/>
      <c r="AW49" s="725"/>
      <c r="AX49" s="725"/>
      <c r="AY49" s="725"/>
      <c r="AZ49" s="725"/>
      <c r="BA49" s="725"/>
      <c r="BB49" s="725"/>
      <c r="BC49" s="725"/>
      <c r="BD49" s="725"/>
      <c r="BE49" s="725"/>
      <c r="BF49" s="725"/>
      <c r="BG49" s="725"/>
      <c r="BH49" s="725"/>
      <c r="BI49" s="725"/>
      <c r="BJ49" s="725"/>
      <c r="BK49" s="725"/>
      <c r="BL49" s="725"/>
      <c r="BM49" s="725"/>
      <c r="BN49" s="725"/>
      <c r="BO49" s="725"/>
      <c r="BP49" s="725"/>
      <c r="BQ49" s="725"/>
      <c r="BR49" s="725"/>
      <c r="BS49" s="725"/>
      <c r="BT49" s="725"/>
      <c r="BU49" s="725"/>
      <c r="BV49" s="725"/>
      <c r="BW49" s="725"/>
      <c r="BX49" s="725"/>
      <c r="BY49" s="725"/>
      <c r="BZ49" s="725"/>
      <c r="CA49" s="725"/>
      <c r="CB49" s="725"/>
      <c r="CC49" s="725"/>
      <c r="CD49" s="725"/>
      <c r="CE49" s="725"/>
      <c r="CF49" s="725"/>
      <c r="CG49" s="725"/>
      <c r="CH49" s="725"/>
      <c r="CI49" s="725"/>
      <c r="CJ49" s="725"/>
      <c r="CK49" s="725"/>
      <c r="CL49" s="725"/>
      <c r="CM49" s="725"/>
      <c r="CN49" s="725"/>
      <c r="CO49" s="725"/>
      <c r="CP49" s="725"/>
      <c r="CQ49" s="725"/>
      <c r="CR49" s="725"/>
    </row>
    <row r="50" spans="1:96" s="730" customFormat="1" ht="15.6">
      <c r="A50" s="1023" t="s">
        <v>114</v>
      </c>
      <c r="B50" s="1024"/>
      <c r="C50" s="1024"/>
      <c r="D50" s="1024"/>
      <c r="E50" s="1024"/>
      <c r="F50" s="1024"/>
      <c r="G50" s="1024"/>
      <c r="H50" s="1024"/>
      <c r="I50" s="1024"/>
      <c r="J50" s="1024"/>
      <c r="K50" s="1024"/>
      <c r="L50" s="1024"/>
      <c r="M50" s="1024"/>
      <c r="N50" s="1024"/>
      <c r="O50" s="1024"/>
      <c r="P50" s="1024"/>
      <c r="Q50" s="1024"/>
      <c r="R50" s="1024"/>
      <c r="S50" s="1024"/>
      <c r="T50" s="1024"/>
      <c r="U50" s="1024"/>
      <c r="V50" s="1024"/>
      <c r="W50" s="1025"/>
      <c r="X50" s="740"/>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25"/>
      <c r="AY50" s="725"/>
      <c r="AZ50" s="725"/>
      <c r="BA50" s="725"/>
      <c r="BB50" s="725"/>
      <c r="BC50" s="725"/>
      <c r="BD50" s="725"/>
      <c r="BE50" s="725"/>
      <c r="BF50" s="725"/>
      <c r="BG50" s="725"/>
      <c r="BH50" s="725"/>
      <c r="BI50" s="725"/>
      <c r="BJ50" s="725"/>
      <c r="BK50" s="725"/>
      <c r="BL50" s="725"/>
      <c r="BM50" s="725"/>
      <c r="BN50" s="725"/>
      <c r="BO50" s="725"/>
      <c r="BP50" s="725"/>
      <c r="BQ50" s="725"/>
      <c r="BR50" s="725"/>
      <c r="BS50" s="725"/>
      <c r="BT50" s="725"/>
      <c r="BU50" s="725"/>
      <c r="BV50" s="725"/>
      <c r="BW50" s="725"/>
      <c r="BX50" s="725"/>
      <c r="BY50" s="725"/>
      <c r="BZ50" s="725"/>
      <c r="CA50" s="725"/>
      <c r="CB50" s="725"/>
      <c r="CC50" s="725"/>
      <c r="CD50" s="725"/>
      <c r="CE50" s="725"/>
      <c r="CF50" s="725"/>
      <c r="CG50" s="725"/>
      <c r="CH50" s="725"/>
      <c r="CI50" s="725"/>
      <c r="CJ50" s="725"/>
      <c r="CK50" s="725"/>
      <c r="CL50" s="725"/>
      <c r="CM50" s="725"/>
      <c r="CN50" s="725"/>
      <c r="CO50" s="725"/>
      <c r="CP50" s="725"/>
      <c r="CQ50" s="725"/>
      <c r="CR50" s="725"/>
    </row>
    <row r="51" spans="1:96" s="730" customFormat="1" ht="13.15">
      <c r="A51" s="825" t="s">
        <v>115</v>
      </c>
      <c r="B51" s="22" t="s">
        <v>144</v>
      </c>
      <c r="C51" s="286">
        <f>+'99'!C51-('13'!C51+'14'!C51+Law!C51+'26'!C51+'27'!C51+'40'!C51+Den!C51+Med!C51+'52'!C51)</f>
        <v>0</v>
      </c>
      <c r="D51" s="286">
        <f>+'99'!D51-('13'!D51+'14'!D51+Law!D51+'26'!D51+'27'!D51+'40'!D51+Den!D51+Med!D51+'52'!D51)</f>
        <v>0</v>
      </c>
      <c r="E51" s="286">
        <f>+'99'!E51-('13'!E51+'14'!E51+Law!E51+'26'!E51+'27'!E51+'40'!E51+Den!E51+Med!E51+'52'!E51)</f>
        <v>3</v>
      </c>
      <c r="F51" s="286">
        <f>+'99'!F51-('13'!F51+'14'!F51+Law!F51+'26'!F51+'27'!F51+'40'!F51+Den!F51+Med!F51+'52'!F51)</f>
        <v>2</v>
      </c>
      <c r="G51" s="286">
        <f>+'99'!G51-('13'!G51+'14'!G51+Law!G51+'26'!G51+'27'!G51+'40'!G51+Den!G51+Med!G51+'52'!G51)</f>
        <v>0</v>
      </c>
      <c r="H51" s="286">
        <f>+'99'!H51-('13'!H51+'14'!H51+Law!H51+'26'!H51+'27'!H51+'40'!H51+Den!H51+Med!H51+'52'!H51)</f>
        <v>0</v>
      </c>
      <c r="I51" s="286">
        <f>+'99'!I51-('13'!I51+'14'!I51+Law!I51+'26'!I51+'27'!I51+'40'!I51+Den!I51+Med!I51+'52'!I51)</f>
        <v>2</v>
      </c>
      <c r="J51" s="286">
        <f>+'99'!J51-('13'!J51+'14'!J51+Law!J51+'26'!J51+'27'!J51+'40'!J51+Den!J51+Med!J51+'52'!J51)</f>
        <v>2</v>
      </c>
      <c r="K51" s="286">
        <f>+'99'!K51-('13'!K51+'14'!K51+Law!K51+'26'!K51+'27'!K51+'40'!K51+Den!K51+Med!K51+'52'!K51)</f>
        <v>4</v>
      </c>
      <c r="L51" s="286">
        <f>+'99'!L51-('13'!L51+'14'!L51+Law!L51+'26'!L51+'27'!L51+'40'!L51+Den!L51+Med!L51+'52'!L51)</f>
        <v>16</v>
      </c>
      <c r="M51" s="286">
        <f>+'99'!M51-('13'!M51+'14'!M51+Law!M51+'26'!M51+'27'!M51+'40'!M51+Den!M51+Med!M51+'52'!M51)</f>
        <v>22</v>
      </c>
      <c r="N51" s="286">
        <f>+'99'!N51-('13'!N51+'14'!N51+Law!N51+'26'!N51+'27'!N51+'40'!N51+Den!N51+Med!N51+'52'!N51)</f>
        <v>19</v>
      </c>
      <c r="O51" s="286">
        <f>+'99'!O51-('13'!O51+'14'!O51+Law!O51+'26'!O51+'27'!O51+'40'!O51+Den!O51+Med!O51+'52'!O51)</f>
        <v>1</v>
      </c>
      <c r="P51" s="286">
        <f>+'99'!P51-('13'!P51+'14'!P51+Law!P51+'26'!P51+'27'!P51+'40'!P51+Den!P51+Med!P51+'52'!P51)</f>
        <v>0</v>
      </c>
      <c r="Q51" s="286">
        <f>+'99'!Q51-('13'!Q51+'14'!Q51+Law!Q51+'26'!Q51+'27'!Q51+'40'!Q51+Den!Q51+Med!Q51+'52'!Q51)</f>
        <v>0</v>
      </c>
      <c r="R51" s="286">
        <f>+'99'!R51-('13'!R51+'14'!R51+Law!R51+'26'!R51+'27'!R51+'40'!R51+Den!R51+Med!R51+'52'!R51)</f>
        <v>0</v>
      </c>
      <c r="S51" s="286">
        <f>+'99'!S51-('13'!S51+'14'!S51+Law!S51+'26'!S51+'27'!S51+'40'!S51+Den!S51+Med!S51+'52'!S51)</f>
        <v>1</v>
      </c>
      <c r="T51" s="286">
        <f>+'99'!T51-('13'!T51+'14'!T51+Law!T51+'26'!T51+'27'!T51+'40'!T51+Den!T51+Med!T51+'52'!T51)</f>
        <v>2</v>
      </c>
      <c r="U51" s="47">
        <f t="shared" ref="U51:V56" si="3">C51+E51+G51+I51+K51+M51+O51+Q51+S51</f>
        <v>33</v>
      </c>
      <c r="V51" s="47">
        <f t="shared" si="3"/>
        <v>41</v>
      </c>
      <c r="W51" s="44">
        <f t="shared" ref="W51:W56" si="4">+V51+U51</f>
        <v>74</v>
      </c>
      <c r="X51" s="740"/>
      <c r="Y51" s="725"/>
      <c r="Z51" s="725"/>
      <c r="AA51" s="725"/>
      <c r="AB51" s="725"/>
      <c r="AC51" s="725"/>
      <c r="AD51" s="725"/>
      <c r="AE51" s="725"/>
      <c r="AF51" s="725"/>
      <c r="AG51" s="725"/>
      <c r="AH51" s="725"/>
      <c r="AI51" s="725"/>
      <c r="AJ51" s="725"/>
      <c r="AK51" s="725"/>
      <c r="AL51" s="725"/>
      <c r="AM51" s="725"/>
      <c r="AN51" s="725"/>
      <c r="AO51" s="725"/>
      <c r="AP51" s="725"/>
      <c r="AQ51" s="725"/>
      <c r="AR51" s="725"/>
      <c r="AS51" s="725"/>
      <c r="AT51" s="725"/>
      <c r="AU51" s="725"/>
      <c r="AV51" s="725"/>
      <c r="AW51" s="725"/>
      <c r="AX51" s="725"/>
      <c r="AY51" s="725"/>
      <c r="AZ51" s="725"/>
      <c r="BA51" s="725"/>
      <c r="BB51" s="725"/>
      <c r="BC51" s="725"/>
      <c r="BD51" s="725"/>
      <c r="BE51" s="725"/>
      <c r="BF51" s="725"/>
      <c r="BG51" s="725"/>
      <c r="BH51" s="725"/>
      <c r="BI51" s="725"/>
      <c r="BJ51" s="725"/>
      <c r="BK51" s="725"/>
      <c r="BL51" s="725"/>
      <c r="BM51" s="725"/>
      <c r="BN51" s="725"/>
      <c r="BO51" s="725"/>
      <c r="BP51" s="725"/>
      <c r="BQ51" s="725"/>
      <c r="BR51" s="725"/>
      <c r="BS51" s="725"/>
      <c r="BT51" s="725"/>
      <c r="BU51" s="725"/>
      <c r="BV51" s="725"/>
      <c r="BW51" s="725"/>
      <c r="BX51" s="725"/>
      <c r="BY51" s="725"/>
      <c r="BZ51" s="725"/>
      <c r="CA51" s="725"/>
      <c r="CB51" s="725"/>
      <c r="CC51" s="725"/>
      <c r="CD51" s="725"/>
      <c r="CE51" s="725"/>
      <c r="CF51" s="725"/>
      <c r="CG51" s="725"/>
      <c r="CH51" s="725"/>
      <c r="CI51" s="725"/>
      <c r="CJ51" s="725"/>
      <c r="CK51" s="725"/>
      <c r="CL51" s="725"/>
      <c r="CM51" s="725"/>
      <c r="CN51" s="725"/>
      <c r="CO51" s="725"/>
      <c r="CP51" s="725"/>
      <c r="CQ51" s="725"/>
      <c r="CR51" s="725"/>
    </row>
    <row r="52" spans="1:96" s="730" customFormat="1" ht="13.15">
      <c r="A52" s="825" t="s">
        <v>117</v>
      </c>
      <c r="B52" s="22" t="s">
        <v>145</v>
      </c>
      <c r="C52" s="286">
        <f>+'99'!C52-('13'!C52+'14'!C52+Law!C52+'26'!C52+'27'!C52+'40'!C52+Den!C52+Med!C52+'52'!C52)</f>
        <v>0</v>
      </c>
      <c r="D52" s="286">
        <f>+'99'!D52-('13'!D52+'14'!D52+Law!D52+'26'!D52+'27'!D52+'40'!D52+Den!D52+Med!D52+'52'!D52)</f>
        <v>0</v>
      </c>
      <c r="E52" s="286">
        <f>+'99'!E52-('13'!E52+'14'!E52+Law!E52+'26'!E52+'27'!E52+'40'!E52+Den!E52+Med!E52+'52'!E52)</f>
        <v>1</v>
      </c>
      <c r="F52" s="286">
        <f>+'99'!F52-('13'!F52+'14'!F52+Law!F52+'26'!F52+'27'!F52+'40'!F52+Den!F52+Med!F52+'52'!F52)</f>
        <v>4</v>
      </c>
      <c r="G52" s="286">
        <f>+'99'!G52-('13'!G52+'14'!G52+Law!G52+'26'!G52+'27'!G52+'40'!G52+Den!G52+Med!G52+'52'!G52)</f>
        <v>0</v>
      </c>
      <c r="H52" s="286">
        <f>+'99'!H52-('13'!H52+'14'!H52+Law!H52+'26'!H52+'27'!H52+'40'!H52+Den!H52+Med!H52+'52'!H52)</f>
        <v>0</v>
      </c>
      <c r="I52" s="286">
        <f>+'99'!I52-('13'!I52+'14'!I52+Law!I52+'26'!I52+'27'!I52+'40'!I52+Den!I52+Med!I52+'52'!I52)</f>
        <v>2</v>
      </c>
      <c r="J52" s="286">
        <f>+'99'!J52-('13'!J52+'14'!J52+Law!J52+'26'!J52+'27'!J52+'40'!J52+Den!J52+Med!J52+'52'!J52)</f>
        <v>1</v>
      </c>
      <c r="K52" s="286">
        <f>+'99'!K52-('13'!K52+'14'!K52+Law!K52+'26'!K52+'27'!K52+'40'!K52+Den!K52+Med!K52+'52'!K52)</f>
        <v>6</v>
      </c>
      <c r="L52" s="286">
        <f>+'99'!L52-('13'!L52+'14'!L52+Law!L52+'26'!L52+'27'!L52+'40'!L52+Den!L52+Med!L52+'52'!L52)</f>
        <v>10</v>
      </c>
      <c r="M52" s="286">
        <f>+'99'!M52-('13'!M52+'14'!M52+Law!M52+'26'!M52+'27'!M52+'40'!M52+Den!M52+Med!M52+'52'!M52)</f>
        <v>13</v>
      </c>
      <c r="N52" s="286">
        <f>+'99'!N52-('13'!N52+'14'!N52+Law!N52+'26'!N52+'27'!N52+'40'!N52+Den!N52+Med!N52+'52'!N52)</f>
        <v>20</v>
      </c>
      <c r="O52" s="286">
        <f>+'99'!O52-('13'!O52+'14'!O52+Law!O52+'26'!O52+'27'!O52+'40'!O52+Den!O52+Med!O52+'52'!O52)</f>
        <v>2</v>
      </c>
      <c r="P52" s="286">
        <f>+'99'!P52-('13'!P52+'14'!P52+Law!P52+'26'!P52+'27'!P52+'40'!P52+Den!P52+Med!P52+'52'!P52)</f>
        <v>0</v>
      </c>
      <c r="Q52" s="286">
        <f>+'99'!Q52-('13'!Q52+'14'!Q52+Law!Q52+'26'!Q52+'27'!Q52+'40'!Q52+Den!Q52+Med!Q52+'52'!Q52)</f>
        <v>0</v>
      </c>
      <c r="R52" s="286">
        <f>+'99'!R52-('13'!R52+'14'!R52+Law!R52+'26'!R52+'27'!R52+'40'!R52+Den!R52+Med!R52+'52'!R52)</f>
        <v>0</v>
      </c>
      <c r="S52" s="286">
        <f>+'99'!S52-('13'!S52+'14'!S52+Law!S52+'26'!S52+'27'!S52+'40'!S52+Den!S52+Med!S52+'52'!S52)</f>
        <v>1</v>
      </c>
      <c r="T52" s="286">
        <f>+'99'!T52-('13'!T52+'14'!T52+Law!T52+'26'!T52+'27'!T52+'40'!T52+Den!T52+Med!T52+'52'!T52)</f>
        <v>2</v>
      </c>
      <c r="U52" s="47">
        <f t="shared" si="3"/>
        <v>25</v>
      </c>
      <c r="V52" s="47">
        <f t="shared" si="3"/>
        <v>37</v>
      </c>
      <c r="W52" s="44">
        <f t="shared" si="4"/>
        <v>62</v>
      </c>
      <c r="X52" s="740"/>
      <c r="Y52" s="725"/>
      <c r="Z52" s="725"/>
      <c r="AA52" s="725"/>
      <c r="AB52" s="725"/>
      <c r="AC52" s="725"/>
      <c r="AD52" s="725"/>
      <c r="AE52" s="725"/>
      <c r="AF52" s="725"/>
      <c r="AG52" s="725"/>
      <c r="AH52" s="725"/>
      <c r="AI52" s="725"/>
      <c r="AJ52" s="725"/>
      <c r="AK52" s="725"/>
      <c r="AL52" s="725"/>
      <c r="AM52" s="725"/>
      <c r="AN52" s="725"/>
      <c r="AO52" s="725"/>
      <c r="AP52" s="725"/>
      <c r="AQ52" s="725"/>
      <c r="AR52" s="725"/>
      <c r="AS52" s="725"/>
      <c r="AT52" s="725"/>
      <c r="AU52" s="725"/>
      <c r="AV52" s="725"/>
      <c r="AW52" s="725"/>
      <c r="AX52" s="725"/>
      <c r="AY52" s="725"/>
      <c r="AZ52" s="725"/>
      <c r="BA52" s="725"/>
      <c r="BB52" s="725"/>
      <c r="BC52" s="725"/>
      <c r="BD52" s="725"/>
      <c r="BE52" s="725"/>
      <c r="BF52" s="725"/>
      <c r="BG52" s="725"/>
      <c r="BH52" s="725"/>
      <c r="BI52" s="725"/>
      <c r="BJ52" s="725"/>
      <c r="BK52" s="725"/>
      <c r="BL52" s="725"/>
      <c r="BM52" s="725"/>
      <c r="BN52" s="725"/>
      <c r="BO52" s="725"/>
      <c r="BP52" s="725"/>
      <c r="BQ52" s="725"/>
      <c r="BR52" s="725"/>
      <c r="BS52" s="725"/>
      <c r="BT52" s="725"/>
      <c r="BU52" s="725"/>
      <c r="BV52" s="725"/>
      <c r="BW52" s="725"/>
      <c r="BX52" s="725"/>
      <c r="BY52" s="725"/>
      <c r="BZ52" s="725"/>
      <c r="CA52" s="725"/>
      <c r="CB52" s="725"/>
      <c r="CC52" s="725"/>
      <c r="CD52" s="725"/>
      <c r="CE52" s="725"/>
      <c r="CF52" s="725"/>
      <c r="CG52" s="725"/>
      <c r="CH52" s="725"/>
      <c r="CI52" s="725"/>
      <c r="CJ52" s="725"/>
      <c r="CK52" s="725"/>
      <c r="CL52" s="725"/>
      <c r="CM52" s="725"/>
      <c r="CN52" s="725"/>
      <c r="CO52" s="725"/>
      <c r="CP52" s="725"/>
      <c r="CQ52" s="725"/>
      <c r="CR52" s="725"/>
    </row>
    <row r="53" spans="1:96" s="730" customFormat="1" ht="13.15">
      <c r="A53" s="825" t="s">
        <v>119</v>
      </c>
      <c r="B53" s="22" t="s">
        <v>146</v>
      </c>
      <c r="C53" s="286">
        <f>+'99'!C53-('13'!C53+'14'!C53+Law!C53+'26'!C53+'27'!C53+'40'!C53+Den!C53+Med!C53+'52'!C53)</f>
        <v>1</v>
      </c>
      <c r="D53" s="286">
        <f>+'99'!D53-('13'!D53+'14'!D53+Law!D53+'26'!D53+'27'!D53+'40'!D53+Den!D53+Med!D53+'52'!D53)</f>
        <v>0</v>
      </c>
      <c r="E53" s="286">
        <f>+'99'!E53-('13'!E53+'14'!E53+Law!E53+'26'!E53+'27'!E53+'40'!E53+Den!E53+Med!E53+'52'!E53)</f>
        <v>7</v>
      </c>
      <c r="F53" s="286">
        <f>+'99'!F53-('13'!F53+'14'!F53+Law!F53+'26'!F53+'27'!F53+'40'!F53+Den!F53+Med!F53+'52'!F53)</f>
        <v>13</v>
      </c>
      <c r="G53" s="286">
        <f>+'99'!G53-('13'!G53+'14'!G53+Law!G53+'26'!G53+'27'!G53+'40'!G53+Den!G53+Med!G53+'52'!G53)</f>
        <v>0</v>
      </c>
      <c r="H53" s="286">
        <f>+'99'!H53-('13'!H53+'14'!H53+Law!H53+'26'!H53+'27'!H53+'40'!H53+Den!H53+Med!H53+'52'!H53)</f>
        <v>0</v>
      </c>
      <c r="I53" s="286">
        <f>+'99'!I53-('13'!I53+'14'!I53+Law!I53+'26'!I53+'27'!I53+'40'!I53+Den!I53+Med!I53+'52'!I53)</f>
        <v>8</v>
      </c>
      <c r="J53" s="286">
        <f>+'99'!J53-('13'!J53+'14'!J53+Law!J53+'26'!J53+'27'!J53+'40'!J53+Den!J53+Med!J53+'52'!J53)</f>
        <v>6</v>
      </c>
      <c r="K53" s="286">
        <f>+'99'!K53-('13'!K53+'14'!K53+Law!K53+'26'!K53+'27'!K53+'40'!K53+Den!K53+Med!K53+'52'!K53)</f>
        <v>14</v>
      </c>
      <c r="L53" s="286">
        <f>+'99'!L53-('13'!L53+'14'!L53+Law!L53+'26'!L53+'27'!L53+'40'!L53+Den!L53+Med!L53+'52'!L53)</f>
        <v>19</v>
      </c>
      <c r="M53" s="286">
        <f>+'99'!M53-('13'!M53+'14'!M53+Law!M53+'26'!M53+'27'!M53+'40'!M53+Den!M53+Med!M53+'52'!M53)</f>
        <v>51</v>
      </c>
      <c r="N53" s="286">
        <f>+'99'!N53-('13'!N53+'14'!N53+Law!N53+'26'!N53+'27'!N53+'40'!N53+Den!N53+Med!N53+'52'!N53)</f>
        <v>65</v>
      </c>
      <c r="O53" s="286">
        <f>+'99'!O53-('13'!O53+'14'!O53+Law!O53+'26'!O53+'27'!O53+'40'!O53+Den!O53+Med!O53+'52'!O53)</f>
        <v>4</v>
      </c>
      <c r="P53" s="286">
        <f>+'99'!P53-('13'!P53+'14'!P53+Law!P53+'26'!P53+'27'!P53+'40'!P53+Den!P53+Med!P53+'52'!P53)</f>
        <v>4</v>
      </c>
      <c r="Q53" s="286">
        <f>+'99'!Q53-('13'!Q53+'14'!Q53+Law!Q53+'26'!Q53+'27'!Q53+'40'!Q53+Den!Q53+Med!Q53+'52'!Q53)</f>
        <v>0</v>
      </c>
      <c r="R53" s="286">
        <f>+'99'!R53-('13'!R53+'14'!R53+Law!R53+'26'!R53+'27'!R53+'40'!R53+Den!R53+Med!R53+'52'!R53)</f>
        <v>0</v>
      </c>
      <c r="S53" s="286">
        <f>+'99'!S53-('13'!S53+'14'!S53+Law!S53+'26'!S53+'27'!S53+'40'!S53+Den!S53+Med!S53+'52'!S53)</f>
        <v>2</v>
      </c>
      <c r="T53" s="286">
        <f>+'99'!T53-('13'!T53+'14'!T53+Law!T53+'26'!T53+'27'!T53+'40'!T53+Den!T53+Med!T53+'52'!T53)</f>
        <v>5</v>
      </c>
      <c r="U53" s="47">
        <f t="shared" si="3"/>
        <v>87</v>
      </c>
      <c r="V53" s="47">
        <f t="shared" si="3"/>
        <v>112</v>
      </c>
      <c r="W53" s="44">
        <f t="shared" si="4"/>
        <v>199</v>
      </c>
      <c r="X53" s="740"/>
      <c r="Y53" s="725"/>
      <c r="Z53" s="725"/>
      <c r="AA53" s="725"/>
      <c r="AB53" s="725"/>
      <c r="AC53" s="725"/>
      <c r="AD53" s="725"/>
      <c r="AE53" s="725"/>
      <c r="AF53" s="725"/>
      <c r="AG53" s="725"/>
      <c r="AH53" s="725"/>
      <c r="AI53" s="725"/>
      <c r="AJ53" s="725"/>
      <c r="AK53" s="725"/>
      <c r="AL53" s="725"/>
      <c r="AM53" s="725"/>
      <c r="AN53" s="725"/>
      <c r="AO53" s="725"/>
      <c r="AP53" s="725"/>
      <c r="AQ53" s="725"/>
      <c r="AR53" s="725"/>
      <c r="AS53" s="725"/>
      <c r="AT53" s="725"/>
      <c r="AU53" s="725"/>
      <c r="AV53" s="725"/>
      <c r="AW53" s="725"/>
      <c r="AX53" s="725"/>
      <c r="AY53" s="725"/>
      <c r="AZ53" s="725"/>
      <c r="BA53" s="725"/>
      <c r="BB53" s="725"/>
      <c r="BC53" s="725"/>
      <c r="BD53" s="725"/>
      <c r="BE53" s="725"/>
      <c r="BF53" s="725"/>
      <c r="BG53" s="725"/>
      <c r="BH53" s="725"/>
      <c r="BI53" s="725"/>
      <c r="BJ53" s="725"/>
      <c r="BK53" s="725"/>
      <c r="BL53" s="725"/>
      <c r="BM53" s="725"/>
      <c r="BN53" s="725"/>
      <c r="BO53" s="725"/>
      <c r="BP53" s="725"/>
      <c r="BQ53" s="725"/>
      <c r="BR53" s="725"/>
      <c r="BS53" s="725"/>
      <c r="BT53" s="725"/>
      <c r="BU53" s="725"/>
      <c r="BV53" s="725"/>
      <c r="BW53" s="725"/>
      <c r="BX53" s="725"/>
      <c r="BY53" s="725"/>
      <c r="BZ53" s="725"/>
      <c r="CA53" s="725"/>
      <c r="CB53" s="725"/>
      <c r="CC53" s="725"/>
      <c r="CD53" s="725"/>
      <c r="CE53" s="725"/>
      <c r="CF53" s="725"/>
      <c r="CG53" s="725"/>
      <c r="CH53" s="725"/>
      <c r="CI53" s="725"/>
      <c r="CJ53" s="725"/>
      <c r="CK53" s="725"/>
      <c r="CL53" s="725"/>
      <c r="CM53" s="725"/>
      <c r="CN53" s="725"/>
      <c r="CO53" s="725"/>
      <c r="CP53" s="725"/>
      <c r="CQ53" s="725"/>
      <c r="CR53" s="725"/>
    </row>
    <row r="54" spans="1:96" s="730" customFormat="1" ht="13.15">
      <c r="A54" s="825" t="s">
        <v>121</v>
      </c>
      <c r="B54" s="22" t="s">
        <v>147</v>
      </c>
      <c r="C54" s="286">
        <f>+'99'!C54-('13'!C54+'14'!C54+Law!C54+'26'!C54+'27'!C54+'40'!C54+Den!C54+Med!C54+'52'!C54)</f>
        <v>0</v>
      </c>
      <c r="D54" s="286">
        <f>+'99'!D54-('13'!D54+'14'!D54+Law!D54+'26'!D54+'27'!D54+'40'!D54+Den!D54+Med!D54+'52'!D54)</f>
        <v>0</v>
      </c>
      <c r="E54" s="286">
        <f>+'99'!E54-('13'!E54+'14'!E54+Law!E54+'26'!E54+'27'!E54+'40'!E54+Den!E54+Med!E54+'52'!E54)</f>
        <v>0</v>
      </c>
      <c r="F54" s="286">
        <f>+'99'!F54-('13'!F54+'14'!F54+Law!F54+'26'!F54+'27'!F54+'40'!F54+Den!F54+Med!F54+'52'!F54)</f>
        <v>0</v>
      </c>
      <c r="G54" s="286">
        <f>+'99'!G54-('13'!G54+'14'!G54+Law!G54+'26'!G54+'27'!G54+'40'!G54+Den!G54+Med!G54+'52'!G54)</f>
        <v>0</v>
      </c>
      <c r="H54" s="286">
        <f>+'99'!H54-('13'!H54+'14'!H54+Law!H54+'26'!H54+'27'!H54+'40'!H54+Den!H54+Med!H54+'52'!H54)</f>
        <v>0</v>
      </c>
      <c r="I54" s="286">
        <f>+'99'!I54-('13'!I54+'14'!I54+Law!I54+'26'!I54+'27'!I54+'40'!I54+Den!I54+Med!I54+'52'!I54)</f>
        <v>0</v>
      </c>
      <c r="J54" s="286">
        <f>+'99'!J54-('13'!J54+'14'!J54+Law!J54+'26'!J54+'27'!J54+'40'!J54+Den!J54+Med!J54+'52'!J54)</f>
        <v>0</v>
      </c>
      <c r="K54" s="286">
        <f>+'99'!K54-('13'!K54+'14'!K54+Law!K54+'26'!K54+'27'!K54+'40'!K54+Den!K54+Med!K54+'52'!K54)</f>
        <v>0</v>
      </c>
      <c r="L54" s="286">
        <f>+'99'!L54-('13'!L54+'14'!L54+Law!L54+'26'!L54+'27'!L54+'40'!L54+Den!L54+Med!L54+'52'!L54)</f>
        <v>0</v>
      </c>
      <c r="M54" s="286">
        <f>+'99'!M54-('13'!M54+'14'!M54+Law!M54+'26'!M54+'27'!M54+'40'!M54+Den!M54+Med!M54+'52'!M54)</f>
        <v>0</v>
      </c>
      <c r="N54" s="286">
        <f>+'99'!N54-('13'!N54+'14'!N54+Law!N54+'26'!N54+'27'!N54+'40'!N54+Den!N54+Med!N54+'52'!N54)</f>
        <v>0</v>
      </c>
      <c r="O54" s="286">
        <f>+'99'!O54-('13'!O54+'14'!O54+Law!O54+'26'!O54+'27'!O54+'40'!O54+Den!O54+Med!O54+'52'!O54)</f>
        <v>0</v>
      </c>
      <c r="P54" s="286">
        <f>+'99'!P54-('13'!P54+'14'!P54+Law!P54+'26'!P54+'27'!P54+'40'!P54+Den!P54+Med!P54+'52'!P54)</f>
        <v>0</v>
      </c>
      <c r="Q54" s="286">
        <f>+'99'!Q54-('13'!Q54+'14'!Q54+Law!Q54+'26'!Q54+'27'!Q54+'40'!Q54+Den!Q54+Med!Q54+'52'!Q54)</f>
        <v>0</v>
      </c>
      <c r="R54" s="286">
        <f>+'99'!R54-('13'!R54+'14'!R54+Law!R54+'26'!R54+'27'!R54+'40'!R54+Den!R54+Med!R54+'52'!R54)</f>
        <v>0</v>
      </c>
      <c r="S54" s="286">
        <f>+'99'!S54-('13'!S54+'14'!S54+Law!S54+'26'!S54+'27'!S54+'40'!S54+Den!S54+Med!S54+'52'!S54)</f>
        <v>0</v>
      </c>
      <c r="T54" s="286">
        <f>+'99'!T54-('13'!T54+'14'!T54+Law!T54+'26'!T54+'27'!T54+'40'!T54+Den!T54+Med!T54+'52'!T54)</f>
        <v>0</v>
      </c>
      <c r="U54" s="47">
        <f t="shared" si="3"/>
        <v>0</v>
      </c>
      <c r="V54" s="47">
        <f t="shared" si="3"/>
        <v>0</v>
      </c>
      <c r="W54" s="44">
        <f t="shared" si="4"/>
        <v>0</v>
      </c>
      <c r="X54" s="740"/>
      <c r="Y54" s="725"/>
      <c r="Z54" s="725"/>
      <c r="AA54" s="725"/>
      <c r="AB54" s="725"/>
      <c r="AC54" s="725"/>
      <c r="AD54" s="725"/>
      <c r="AE54" s="725"/>
      <c r="AF54" s="725"/>
      <c r="AG54" s="725"/>
      <c r="AH54" s="725"/>
      <c r="AI54" s="725"/>
      <c r="AJ54" s="725"/>
      <c r="AK54" s="725"/>
      <c r="AL54" s="725"/>
      <c r="AM54" s="725"/>
      <c r="AN54" s="725"/>
      <c r="AO54" s="725"/>
      <c r="AP54" s="725"/>
      <c r="AQ54" s="725"/>
      <c r="AR54" s="725"/>
      <c r="AS54" s="725"/>
      <c r="AT54" s="725"/>
      <c r="AU54" s="725"/>
      <c r="AV54" s="725"/>
      <c r="AW54" s="725"/>
      <c r="AX54" s="725"/>
      <c r="AY54" s="725"/>
      <c r="AZ54" s="725"/>
      <c r="BA54" s="725"/>
      <c r="BB54" s="725"/>
      <c r="BC54" s="725"/>
      <c r="BD54" s="725"/>
      <c r="BE54" s="725"/>
      <c r="BF54" s="725"/>
      <c r="BG54" s="725"/>
      <c r="BH54" s="725"/>
      <c r="BI54" s="725"/>
      <c r="BJ54" s="725"/>
      <c r="BK54" s="725"/>
      <c r="BL54" s="725"/>
      <c r="BM54" s="725"/>
      <c r="BN54" s="725"/>
      <c r="BO54" s="725"/>
      <c r="BP54" s="725"/>
      <c r="BQ54" s="725"/>
      <c r="BR54" s="725"/>
      <c r="BS54" s="725"/>
      <c r="BT54" s="725"/>
      <c r="BU54" s="725"/>
      <c r="BV54" s="725"/>
      <c r="BW54" s="725"/>
      <c r="BX54" s="725"/>
      <c r="BY54" s="725"/>
      <c r="BZ54" s="725"/>
      <c r="CA54" s="725"/>
      <c r="CB54" s="725"/>
      <c r="CC54" s="725"/>
      <c r="CD54" s="725"/>
      <c r="CE54" s="725"/>
      <c r="CF54" s="725"/>
      <c r="CG54" s="725"/>
      <c r="CH54" s="725"/>
      <c r="CI54" s="725"/>
      <c r="CJ54" s="725"/>
      <c r="CK54" s="725"/>
      <c r="CL54" s="725"/>
      <c r="CM54" s="725"/>
      <c r="CN54" s="725"/>
      <c r="CO54" s="725"/>
      <c r="CP54" s="725"/>
      <c r="CQ54" s="725"/>
      <c r="CR54" s="725"/>
    </row>
    <row r="55" spans="1:96" s="730" customFormat="1" ht="26.45">
      <c r="A55" s="547" t="s">
        <v>123</v>
      </c>
      <c r="B55" s="22" t="s">
        <v>148</v>
      </c>
      <c r="C55" s="286">
        <f>+'99'!C55-('13'!C55+'14'!C55+Law!C55+'26'!C55+'27'!C55+'40'!C55+Den!C55+Med!C55+'52'!C55)</f>
        <v>0</v>
      </c>
      <c r="D55" s="286">
        <f>+'99'!D55-('13'!D55+'14'!D55+Law!D55+'26'!D55+'27'!D55+'40'!D55+Den!D55+Med!D55+'52'!D55)</f>
        <v>0</v>
      </c>
      <c r="E55" s="286">
        <f>+'99'!E55-('13'!E55+'14'!E55+Law!E55+'26'!E55+'27'!E55+'40'!E55+Den!E55+Med!E55+'52'!E55)</f>
        <v>2</v>
      </c>
      <c r="F55" s="286">
        <f>+'99'!F55-('13'!F55+'14'!F55+Law!F55+'26'!F55+'27'!F55+'40'!F55+Den!F55+Med!F55+'52'!F55)</f>
        <v>3</v>
      </c>
      <c r="G55" s="286">
        <f>+'99'!G55-('13'!G55+'14'!G55+Law!G55+'26'!G55+'27'!G55+'40'!G55+Den!G55+Med!G55+'52'!G55)</f>
        <v>0</v>
      </c>
      <c r="H55" s="286">
        <f>+'99'!H55-('13'!H55+'14'!H55+Law!H55+'26'!H55+'27'!H55+'40'!H55+Den!H55+Med!H55+'52'!H55)</f>
        <v>0</v>
      </c>
      <c r="I55" s="286">
        <f>+'99'!I55-('13'!I55+'14'!I55+Law!I55+'26'!I55+'27'!I55+'40'!I55+Den!I55+Med!I55+'52'!I55)</f>
        <v>4</v>
      </c>
      <c r="J55" s="286">
        <f>+'99'!J55-('13'!J55+'14'!J55+Law!J55+'26'!J55+'27'!J55+'40'!J55+Den!J55+Med!J55+'52'!J55)</f>
        <v>2</v>
      </c>
      <c r="K55" s="286">
        <f>+'99'!K55-('13'!K55+'14'!K55+Law!K55+'26'!K55+'27'!K55+'40'!K55+Den!K55+Med!K55+'52'!K55)</f>
        <v>10</v>
      </c>
      <c r="L55" s="286">
        <f>+'99'!L55-('13'!L55+'14'!L55+Law!L55+'26'!L55+'27'!L55+'40'!L55+Den!L55+Med!L55+'52'!L55)</f>
        <v>20</v>
      </c>
      <c r="M55" s="286">
        <f>+'99'!M55-('13'!M55+'14'!M55+Law!M55+'26'!M55+'27'!M55+'40'!M55+Den!M55+Med!M55+'52'!M55)</f>
        <v>31</v>
      </c>
      <c r="N55" s="286">
        <f>+'99'!N55-('13'!N55+'14'!N55+Law!N55+'26'!N55+'27'!N55+'40'!N55+Den!N55+Med!N55+'52'!N55)</f>
        <v>16</v>
      </c>
      <c r="O55" s="286">
        <f>+'99'!O55-('13'!O55+'14'!O55+Law!O55+'26'!O55+'27'!O55+'40'!O55+Den!O55+Med!O55+'52'!O55)</f>
        <v>22</v>
      </c>
      <c r="P55" s="286">
        <f>+'99'!P55-('13'!P55+'14'!P55+Law!P55+'26'!P55+'27'!P55+'40'!P55+Den!P55+Med!P55+'52'!P55)</f>
        <v>34</v>
      </c>
      <c r="Q55" s="286">
        <f>+'99'!Q55-('13'!Q55+'14'!Q55+Law!Q55+'26'!Q55+'27'!Q55+'40'!Q55+Den!Q55+Med!Q55+'52'!Q55)</f>
        <v>0</v>
      </c>
      <c r="R55" s="286">
        <f>+'99'!R55-('13'!R55+'14'!R55+Law!R55+'26'!R55+'27'!R55+'40'!R55+Den!R55+Med!R55+'52'!R55)</f>
        <v>0</v>
      </c>
      <c r="S55" s="286">
        <f>+'99'!S55-('13'!S55+'14'!S55+Law!S55+'26'!S55+'27'!S55+'40'!S55+Den!S55+Med!S55+'52'!S55)</f>
        <v>0</v>
      </c>
      <c r="T55" s="286">
        <f>+'99'!T55-('13'!T55+'14'!T55+Law!T55+'26'!T55+'27'!T55+'40'!T55+Den!T55+Med!T55+'52'!T55)</f>
        <v>0</v>
      </c>
      <c r="U55" s="47">
        <f t="shared" si="3"/>
        <v>69</v>
      </c>
      <c r="V55" s="47">
        <f t="shared" si="3"/>
        <v>75</v>
      </c>
      <c r="W55" s="44">
        <f t="shared" si="4"/>
        <v>144</v>
      </c>
      <c r="X55" s="740"/>
      <c r="Y55" s="725"/>
      <c r="Z55" s="725"/>
      <c r="AA55" s="725"/>
      <c r="AB55" s="725"/>
      <c r="AC55" s="725"/>
      <c r="AD55" s="725"/>
      <c r="AE55" s="725"/>
      <c r="AF55" s="725"/>
      <c r="AG55" s="725"/>
      <c r="AH55" s="725"/>
      <c r="AI55" s="725"/>
      <c r="AJ55" s="725"/>
      <c r="AK55" s="725"/>
      <c r="AL55" s="725"/>
      <c r="AM55" s="725"/>
      <c r="AN55" s="725"/>
      <c r="AO55" s="725"/>
      <c r="AP55" s="725"/>
      <c r="AQ55" s="725"/>
      <c r="AR55" s="725"/>
      <c r="AS55" s="725"/>
      <c r="AT55" s="725"/>
      <c r="AU55" s="725"/>
      <c r="AV55" s="725"/>
      <c r="AW55" s="725"/>
      <c r="AX55" s="725"/>
      <c r="AY55" s="725"/>
      <c r="AZ55" s="725"/>
      <c r="BA55" s="725"/>
      <c r="BB55" s="725"/>
      <c r="BC55" s="725"/>
      <c r="BD55" s="725"/>
      <c r="BE55" s="725"/>
      <c r="BF55" s="725"/>
      <c r="BG55" s="725"/>
      <c r="BH55" s="725"/>
      <c r="BI55" s="725"/>
      <c r="BJ55" s="725"/>
      <c r="BK55" s="725"/>
      <c r="BL55" s="725"/>
      <c r="BM55" s="725"/>
      <c r="BN55" s="725"/>
      <c r="BO55" s="725"/>
      <c r="BP55" s="725"/>
      <c r="BQ55" s="725"/>
      <c r="BR55" s="725"/>
      <c r="BS55" s="725"/>
      <c r="BT55" s="725"/>
      <c r="BU55" s="725"/>
      <c r="BV55" s="725"/>
      <c r="BW55" s="725"/>
      <c r="BX55" s="725"/>
      <c r="BY55" s="725"/>
      <c r="BZ55" s="725"/>
      <c r="CA55" s="725"/>
      <c r="CB55" s="725"/>
      <c r="CC55" s="725"/>
      <c r="CD55" s="725"/>
      <c r="CE55" s="725"/>
      <c r="CF55" s="725"/>
      <c r="CG55" s="725"/>
      <c r="CH55" s="725"/>
      <c r="CI55" s="725"/>
      <c r="CJ55" s="725"/>
      <c r="CK55" s="725"/>
      <c r="CL55" s="725"/>
      <c r="CM55" s="725"/>
      <c r="CN55" s="725"/>
      <c r="CO55" s="725"/>
      <c r="CP55" s="725"/>
      <c r="CQ55" s="725"/>
      <c r="CR55" s="725"/>
    </row>
    <row r="56" spans="1:96" s="742" customFormat="1" ht="27" thickBot="1">
      <c r="A56" s="550" t="s">
        <v>149</v>
      </c>
      <c r="B56" s="551" t="s">
        <v>150</v>
      </c>
      <c r="C56" s="836">
        <f>+'99'!C56-('13'!C56+'14'!C56+Law!C56+'26'!C56+'27'!C56+'40'!C56+Den!C56+Med!C56+'52'!C56)</f>
        <v>1</v>
      </c>
      <c r="D56" s="836">
        <f>+'99'!D56-('13'!D56+'14'!D56+Law!D56+'26'!D56+'27'!D56+'40'!D56+Den!D56+Med!D56+'52'!D56)</f>
        <v>2</v>
      </c>
      <c r="E56" s="836">
        <f>+'99'!E56-('13'!E56+'14'!E56+Law!E56+'26'!E56+'27'!E56+'40'!E56+Den!E56+Med!E56+'52'!E56)</f>
        <v>17</v>
      </c>
      <c r="F56" s="836">
        <f>+'99'!F56-('13'!F56+'14'!F56+Law!F56+'26'!F56+'27'!F56+'40'!F56+Den!F56+Med!F56+'52'!F56)</f>
        <v>26</v>
      </c>
      <c r="G56" s="836">
        <f>+'99'!G56-('13'!G56+'14'!G56+Law!G56+'26'!G56+'27'!G56+'40'!G56+Den!G56+Med!G56+'52'!G56)</f>
        <v>0</v>
      </c>
      <c r="H56" s="836">
        <f>+'99'!H56-('13'!H56+'14'!H56+Law!H56+'26'!H56+'27'!H56+'40'!H56+Den!H56+Med!H56+'52'!H56)</f>
        <v>0</v>
      </c>
      <c r="I56" s="836">
        <f>+'99'!I56-('13'!I56+'14'!I56+Law!I56+'26'!I56+'27'!I56+'40'!I56+Den!I56+Med!I56+'52'!I56)</f>
        <v>17</v>
      </c>
      <c r="J56" s="836">
        <f>+'99'!J56-('13'!J56+'14'!J56+Law!J56+'26'!J56+'27'!J56+'40'!J56+Den!J56+Med!J56+'52'!J56)</f>
        <v>11</v>
      </c>
      <c r="K56" s="836">
        <f>+'99'!K56-('13'!K56+'14'!K56+Law!K56+'26'!K56+'27'!K56+'40'!K56+Den!K56+Med!K56+'52'!K56)</f>
        <v>40</v>
      </c>
      <c r="L56" s="836">
        <f>+'99'!L56-('13'!L56+'14'!L56+Law!L56+'26'!L56+'27'!L56+'40'!L56+Den!L56+Med!L56+'52'!L56)</f>
        <v>72</v>
      </c>
      <c r="M56" s="836">
        <f>+'99'!M56-('13'!M56+'14'!M56+Law!M56+'26'!M56+'27'!M56+'40'!M56+Den!M56+Med!M56+'52'!M56)</f>
        <v>126</v>
      </c>
      <c r="N56" s="836">
        <f>+'99'!N56-('13'!N56+'14'!N56+Law!N56+'26'!N56+'27'!N56+'40'!N56+Den!N56+Med!N56+'52'!N56)</f>
        <v>141</v>
      </c>
      <c r="O56" s="836">
        <f>+'99'!O56-('13'!O56+'14'!O56+Law!O56+'26'!O56+'27'!O56+'40'!O56+Den!O56+Med!O56+'52'!O56)</f>
        <v>29</v>
      </c>
      <c r="P56" s="836">
        <f>+'99'!P56-('13'!P56+'14'!P56+Law!P56+'26'!P56+'27'!P56+'40'!P56+Den!P56+Med!P56+'52'!P56)</f>
        <v>39</v>
      </c>
      <c r="Q56" s="836">
        <f>+'99'!Q56-('13'!Q56+'14'!Q56+Law!Q56+'26'!Q56+'27'!Q56+'40'!Q56+Den!Q56+Med!Q56+'52'!Q56)</f>
        <v>0</v>
      </c>
      <c r="R56" s="836">
        <f>+'99'!R56-('13'!R56+'14'!R56+Law!R56+'26'!R56+'27'!R56+'40'!R56+Den!R56+Med!R56+'52'!R56)</f>
        <v>0</v>
      </c>
      <c r="S56" s="836">
        <f>+'99'!S56-('13'!S56+'14'!S56+Law!S56+'26'!S56+'27'!S56+'40'!S56+Den!S56+Med!S56+'52'!S56)</f>
        <v>5</v>
      </c>
      <c r="T56" s="836">
        <f>+'99'!T56-('13'!T56+'14'!T56+Law!T56+'26'!T56+'27'!T56+'40'!T56+Den!T56+Med!T56+'52'!T56)</f>
        <v>9</v>
      </c>
      <c r="U56" s="837">
        <f t="shared" si="3"/>
        <v>235</v>
      </c>
      <c r="V56" s="837">
        <f t="shared" si="3"/>
        <v>300</v>
      </c>
      <c r="W56" s="553">
        <f t="shared" si="4"/>
        <v>535</v>
      </c>
      <c r="X56" s="741"/>
      <c r="Y56" s="726"/>
      <c r="Z56" s="726"/>
      <c r="AA56" s="726"/>
      <c r="AB56" s="726"/>
      <c r="AC56" s="726"/>
      <c r="AD56" s="726"/>
      <c r="AE56" s="726"/>
      <c r="AF56" s="726"/>
      <c r="AG56" s="726"/>
      <c r="AH56" s="726"/>
      <c r="AI56" s="726"/>
      <c r="AJ56" s="726"/>
      <c r="AK56" s="726"/>
      <c r="AL56" s="726"/>
      <c r="AM56" s="726"/>
      <c r="AN56" s="726"/>
      <c r="AO56" s="726"/>
      <c r="AP56" s="726"/>
      <c r="AQ56" s="726"/>
      <c r="AR56" s="726"/>
      <c r="AS56" s="726"/>
      <c r="AT56" s="726"/>
      <c r="AU56" s="726"/>
      <c r="AV56" s="726"/>
      <c r="AW56" s="726"/>
      <c r="AX56" s="726"/>
      <c r="AY56" s="726"/>
      <c r="AZ56" s="726"/>
      <c r="BA56" s="726"/>
      <c r="BB56" s="726"/>
      <c r="BC56" s="726"/>
      <c r="BD56" s="726"/>
      <c r="BE56" s="726"/>
      <c r="BF56" s="726"/>
      <c r="BG56" s="726"/>
      <c r="BH56" s="726"/>
      <c r="BI56" s="726"/>
      <c r="BJ56" s="726"/>
      <c r="BK56" s="726"/>
      <c r="BL56" s="726"/>
      <c r="BM56" s="726"/>
      <c r="BN56" s="726"/>
      <c r="BO56" s="726"/>
      <c r="BP56" s="726"/>
      <c r="BQ56" s="726"/>
      <c r="BR56" s="726"/>
      <c r="BS56" s="726"/>
      <c r="BT56" s="726"/>
      <c r="BU56" s="726"/>
      <c r="BV56" s="726"/>
      <c r="BW56" s="726"/>
      <c r="BX56" s="726"/>
      <c r="BY56" s="726"/>
      <c r="BZ56" s="726"/>
      <c r="CA56" s="726"/>
      <c r="CB56" s="726"/>
      <c r="CC56" s="726"/>
      <c r="CD56" s="726"/>
      <c r="CE56" s="726"/>
      <c r="CF56" s="726"/>
      <c r="CG56" s="726"/>
      <c r="CH56" s="726"/>
      <c r="CI56" s="726"/>
      <c r="CJ56" s="726"/>
      <c r="CK56" s="726"/>
      <c r="CL56" s="726"/>
      <c r="CM56" s="726"/>
      <c r="CN56" s="726"/>
      <c r="CO56" s="726"/>
      <c r="CP56" s="726"/>
      <c r="CQ56" s="726"/>
      <c r="CR56" s="726"/>
    </row>
    <row r="57" spans="1:96" ht="21.75" hidden="1" customHeight="1" thickTop="1">
      <c r="A57" s="548" t="s">
        <v>186</v>
      </c>
      <c r="B57" s="733"/>
      <c r="C57" s="683"/>
      <c r="D57" s="683"/>
      <c r="E57" s="683"/>
      <c r="F57" s="683"/>
      <c r="G57" s="683"/>
      <c r="H57" s="683"/>
      <c r="I57" s="683"/>
      <c r="J57" s="683"/>
      <c r="K57" s="683"/>
      <c r="L57" s="683"/>
      <c r="M57" s="683"/>
      <c r="N57" s="683"/>
      <c r="O57" s="683"/>
      <c r="P57" s="683"/>
      <c r="Q57" s="683"/>
      <c r="R57" s="683"/>
      <c r="S57" s="683"/>
      <c r="T57" s="683"/>
      <c r="U57" s="621"/>
      <c r="V57" s="621"/>
      <c r="W57" s="48"/>
      <c r="X57" s="740"/>
    </row>
    <row r="58" spans="1:96" s="730" customFormat="1" ht="13.15" hidden="1">
      <c r="A58" s="38" t="s">
        <v>128</v>
      </c>
      <c r="B58" s="34">
        <v>23</v>
      </c>
      <c r="C58" s="286">
        <f>+'99'!C58-('13'!C58+'14'!C58+Law!C58+'26'!C58+'27'!C58+'40'!C58+Den!C58+Med!C58+'52'!C58)</f>
        <v>0</v>
      </c>
      <c r="D58" s="286">
        <f>+'99'!D58-('13'!D58+'14'!D58+Law!D58+'26'!D58+'27'!D58+'40'!D58+Den!D58+Med!D58+'52'!D58)</f>
        <v>0</v>
      </c>
      <c r="E58" s="286">
        <f>+'99'!E58-('13'!E58+'14'!E58+Law!E58+'26'!E58+'27'!E58+'40'!E58+Den!E58+Med!E58+'52'!E58)</f>
        <v>0</v>
      </c>
      <c r="F58" s="286">
        <f>+'99'!F58-('13'!F58+'14'!F58+Law!F58+'26'!F58+'27'!F58+'40'!F58+Den!F58+Med!F58+'52'!F58)</f>
        <v>0</v>
      </c>
      <c r="G58" s="286">
        <f>+'99'!G58-('13'!G58+'14'!G58+Law!G58+'26'!G58+'27'!G58+'40'!G58+Den!G58+Med!G58+'52'!G58)</f>
        <v>0</v>
      </c>
      <c r="H58" s="286">
        <f>+'99'!H58-('13'!H58+'14'!H58+Law!H58+'26'!H58+'27'!H58+'40'!H58+Den!H58+Med!H58+'52'!H58)</f>
        <v>0</v>
      </c>
      <c r="I58" s="286">
        <f>+'99'!I58-('13'!I58+'14'!I58+Law!I58+'26'!I58+'27'!I58+'40'!I58+Den!I58+Med!I58+'52'!I58)</f>
        <v>0</v>
      </c>
      <c r="J58" s="286">
        <f>+'99'!J58-('13'!J58+'14'!J58+Law!J58+'26'!J58+'27'!J58+'40'!J58+Den!J58+Med!J58+'52'!J58)</f>
        <v>0</v>
      </c>
      <c r="K58" s="286">
        <f>+'99'!K58-('13'!K58+'14'!K58+Law!K58+'26'!K58+'27'!K58+'40'!K58+Den!K58+Med!K58+'52'!K58)</f>
        <v>0</v>
      </c>
      <c r="L58" s="286">
        <f>+'99'!L58-('13'!L58+'14'!L58+Law!L58+'26'!L58+'27'!L58+'40'!L58+Den!L58+Med!L58+'52'!L58)</f>
        <v>0</v>
      </c>
      <c r="M58" s="286">
        <f>+'99'!M58-('13'!M58+'14'!M58+Law!M58+'26'!M58+'27'!M58+'40'!M58+Den!M58+Med!M58+'52'!M58)</f>
        <v>0</v>
      </c>
      <c r="N58" s="286">
        <f>+'99'!N58-('13'!N58+'14'!N58+Law!N58+'26'!N58+'27'!N58+'40'!N58+Den!N58+Med!N58+'52'!N58)</f>
        <v>0</v>
      </c>
      <c r="O58" s="286">
        <f>+'99'!O58-('13'!O58+'14'!O58+Law!O58+'26'!O58+'27'!O58+'40'!O58+Den!O58+Med!O58+'52'!O58)</f>
        <v>0</v>
      </c>
      <c r="P58" s="286">
        <f>+'99'!P58-('13'!P58+'14'!P58+Law!P58+'26'!P58+'27'!P58+'40'!P58+Den!P58+Med!P58+'52'!P58)</f>
        <v>0</v>
      </c>
      <c r="Q58" s="286"/>
      <c r="R58" s="286"/>
      <c r="S58" s="286"/>
      <c r="T58" s="286"/>
      <c r="U58" s="44">
        <f>C58+E58+G58+I58+K58+M58+O58</f>
        <v>0</v>
      </c>
      <c r="V58" s="42">
        <f>D58+F58+H58+J58+L58+N58+P58</f>
        <v>0</v>
      </c>
      <c r="W58" s="44">
        <f>+V58+U58</f>
        <v>0</v>
      </c>
      <c r="X58" s="740"/>
      <c r="Y58" s="725"/>
      <c r="Z58" s="725"/>
      <c r="AA58" s="725"/>
      <c r="AB58" s="725"/>
      <c r="AC58" s="725"/>
      <c r="AD58" s="725"/>
      <c r="AE58" s="725"/>
      <c r="AF58" s="725"/>
      <c r="AG58" s="725"/>
      <c r="AH58" s="725"/>
      <c r="AI58" s="725"/>
      <c r="AJ58" s="725"/>
      <c r="AK58" s="725"/>
      <c r="AL58" s="725"/>
      <c r="AM58" s="725"/>
      <c r="AN58" s="725"/>
      <c r="AO58" s="725"/>
      <c r="AP58" s="725"/>
      <c r="AQ58" s="725"/>
      <c r="AR58" s="725"/>
      <c r="AS58" s="725"/>
      <c r="AT58" s="725"/>
      <c r="AU58" s="725"/>
      <c r="AV58" s="725"/>
      <c r="AW58" s="725"/>
      <c r="AX58" s="725"/>
      <c r="AY58" s="725"/>
      <c r="AZ58" s="725"/>
      <c r="BA58" s="725"/>
      <c r="BB58" s="725"/>
      <c r="BC58" s="725"/>
      <c r="BD58" s="725"/>
      <c r="BE58" s="725"/>
      <c r="BF58" s="725"/>
      <c r="BG58" s="725"/>
      <c r="BH58" s="725"/>
      <c r="BI58" s="725"/>
      <c r="BJ58" s="725"/>
      <c r="BK58" s="725"/>
      <c r="BL58" s="725"/>
      <c r="BM58" s="725"/>
      <c r="BN58" s="725"/>
      <c r="BO58" s="725"/>
      <c r="BP58" s="725"/>
      <c r="BQ58" s="725"/>
      <c r="BR58" s="725"/>
      <c r="BS58" s="725"/>
      <c r="BT58" s="725"/>
      <c r="BU58" s="725"/>
      <c r="BV58" s="725"/>
      <c r="BW58" s="725"/>
      <c r="BX58" s="725"/>
      <c r="BY58" s="725"/>
      <c r="BZ58" s="725"/>
      <c r="CA58" s="725"/>
      <c r="CB58" s="725"/>
      <c r="CC58" s="725"/>
      <c r="CD58" s="725"/>
      <c r="CE58" s="725"/>
      <c r="CF58" s="725"/>
      <c r="CG58" s="725"/>
      <c r="CH58" s="725"/>
      <c r="CI58" s="725"/>
      <c r="CJ58" s="725"/>
      <c r="CK58" s="725"/>
      <c r="CL58" s="725"/>
      <c r="CM58" s="725"/>
      <c r="CN58" s="725"/>
      <c r="CO58" s="725"/>
      <c r="CP58" s="725"/>
      <c r="CQ58" s="725"/>
      <c r="CR58" s="725"/>
    </row>
    <row r="59" spans="1:96" s="730" customFormat="1" ht="13.9" hidden="1" thickBot="1">
      <c r="A59" s="604" t="s">
        <v>130</v>
      </c>
      <c r="B59" s="605">
        <v>24</v>
      </c>
      <c r="C59" s="286">
        <f>+'99'!C59-('13'!C59+'14'!C59+Law!C59+'26'!C59+'27'!C59+'40'!C59+Den!C59+Med!C59+'52'!C59)</f>
        <v>0</v>
      </c>
      <c r="D59" s="286">
        <f>+'99'!D59-('13'!D59+'14'!D59+Law!D59+'26'!D59+'27'!D59+'40'!D59+Den!D59+Med!D59+'52'!D59)</f>
        <v>0</v>
      </c>
      <c r="E59" s="286">
        <f>+'99'!E59-('13'!E59+'14'!E59+Law!E59+'26'!E59+'27'!E59+'40'!E59+Den!E59+Med!E59+'52'!E59)</f>
        <v>0</v>
      </c>
      <c r="F59" s="286">
        <f>+'99'!F59-('13'!F59+'14'!F59+Law!F59+'26'!F59+'27'!F59+'40'!F59+Den!F59+Med!F59+'52'!F59)</f>
        <v>0</v>
      </c>
      <c r="G59" s="286">
        <f>+'99'!G59-('13'!G59+'14'!G59+Law!G59+'26'!G59+'27'!G59+'40'!G59+Den!G59+Med!G59+'52'!G59)</f>
        <v>0</v>
      </c>
      <c r="H59" s="286">
        <f>+'99'!H59-('13'!H59+'14'!H59+Law!H59+'26'!H59+'27'!H59+'40'!H59+Den!H59+Med!H59+'52'!H59)</f>
        <v>0</v>
      </c>
      <c r="I59" s="286">
        <f>+'99'!I59-('13'!I59+'14'!I59+Law!I59+'26'!I59+'27'!I59+'40'!I59+Den!I59+Med!I59+'52'!I59)</f>
        <v>0</v>
      </c>
      <c r="J59" s="286">
        <f>+'99'!J59-('13'!J59+'14'!J59+Law!J59+'26'!J59+'27'!J59+'40'!J59+Den!J59+Med!J59+'52'!J59)</f>
        <v>0</v>
      </c>
      <c r="K59" s="286">
        <f>+'99'!K59-('13'!K59+'14'!K59+Law!K59+'26'!K59+'27'!K59+'40'!K59+Den!K59+Med!K59+'52'!K59)</f>
        <v>0</v>
      </c>
      <c r="L59" s="286">
        <f>+'99'!L59-('13'!L59+'14'!L59+Law!L59+'26'!L59+'27'!L59+'40'!L59+Den!L59+Med!L59+'52'!L59)</f>
        <v>0</v>
      </c>
      <c r="M59" s="286">
        <f>+'99'!M59-('13'!M59+'14'!M59+Law!M59+'26'!M59+'27'!M59+'40'!M59+Den!M59+Med!M59+'52'!M59)</f>
        <v>0</v>
      </c>
      <c r="N59" s="286">
        <f>+'99'!N59-('13'!N59+'14'!N59+Law!N59+'26'!N59+'27'!N59+'40'!N59+Den!N59+Med!N59+'52'!N59)</f>
        <v>0</v>
      </c>
      <c r="O59" s="286">
        <f>+'99'!O59-('13'!O59+'14'!O59+Law!O59+'26'!O59+'27'!O59+'40'!O59+Den!O59+Med!O59+'52'!O59)</f>
        <v>0</v>
      </c>
      <c r="P59" s="286">
        <f>+'99'!P59-('13'!P59+'14'!P59+Law!P59+'26'!P59+'27'!P59+'40'!P59+Den!P59+Med!P59+'52'!P59)</f>
        <v>0</v>
      </c>
      <c r="Q59" s="280"/>
      <c r="R59" s="280"/>
      <c r="S59" s="280"/>
      <c r="T59" s="280"/>
      <c r="U59" s="47">
        <f>C59+E59+G59+I59+K59+M59+O59</f>
        <v>0</v>
      </c>
      <c r="V59" s="42">
        <f>D59+F59+H59+J59+L59+N59+P59</f>
        <v>0</v>
      </c>
      <c r="W59" s="44">
        <f>+V59+U59</f>
        <v>0</v>
      </c>
      <c r="X59" s="740"/>
      <c r="Y59" s="725"/>
      <c r="Z59" s="725"/>
      <c r="AA59" s="725"/>
      <c r="AB59" s="725"/>
      <c r="AC59" s="725"/>
      <c r="AD59" s="725"/>
      <c r="AE59" s="725"/>
      <c r="AF59" s="725"/>
      <c r="AG59" s="725"/>
      <c r="AH59" s="725"/>
      <c r="AI59" s="725"/>
      <c r="AJ59" s="725"/>
      <c r="AK59" s="725"/>
      <c r="AL59" s="725"/>
      <c r="AM59" s="725"/>
      <c r="AN59" s="725"/>
      <c r="AO59" s="725"/>
      <c r="AP59" s="725"/>
      <c r="AQ59" s="725"/>
      <c r="AR59" s="725"/>
      <c r="AS59" s="725"/>
      <c r="AT59" s="725"/>
      <c r="AU59" s="725"/>
      <c r="AV59" s="725"/>
      <c r="AW59" s="725"/>
      <c r="AX59" s="725"/>
      <c r="AY59" s="725"/>
      <c r="AZ59" s="725"/>
      <c r="BA59" s="725"/>
      <c r="BB59" s="725"/>
      <c r="BC59" s="725"/>
      <c r="BD59" s="725"/>
      <c r="BE59" s="725"/>
      <c r="BF59" s="725"/>
      <c r="BG59" s="725"/>
      <c r="BH59" s="725"/>
      <c r="BI59" s="725"/>
      <c r="BJ59" s="725"/>
      <c r="BK59" s="725"/>
      <c r="BL59" s="725"/>
      <c r="BM59" s="725"/>
      <c r="BN59" s="725"/>
      <c r="BO59" s="725"/>
      <c r="BP59" s="725"/>
      <c r="BQ59" s="725"/>
      <c r="BR59" s="725"/>
      <c r="BS59" s="725"/>
      <c r="BT59" s="725"/>
      <c r="BU59" s="725"/>
      <c r="BV59" s="725"/>
      <c r="BW59" s="725"/>
      <c r="BX59" s="725"/>
      <c r="BY59" s="725"/>
      <c r="BZ59" s="725"/>
      <c r="CA59" s="725"/>
      <c r="CB59" s="725"/>
      <c r="CC59" s="725"/>
      <c r="CD59" s="725"/>
      <c r="CE59" s="725"/>
      <c r="CF59" s="725"/>
      <c r="CG59" s="725"/>
      <c r="CH59" s="725"/>
      <c r="CI59" s="725"/>
      <c r="CJ59" s="725"/>
      <c r="CK59" s="725"/>
      <c r="CL59" s="725"/>
      <c r="CM59" s="725"/>
      <c r="CN59" s="725"/>
      <c r="CO59" s="725"/>
      <c r="CP59" s="725"/>
      <c r="CQ59" s="725"/>
      <c r="CR59" s="725"/>
    </row>
    <row r="60" spans="1:96" ht="18" thickTop="1">
      <c r="A60" s="548" t="s">
        <v>132</v>
      </c>
      <c r="B60" s="733"/>
      <c r="C60" s="683"/>
      <c r="D60" s="683"/>
      <c r="E60" s="683"/>
      <c r="F60" s="683"/>
      <c r="G60" s="683"/>
      <c r="H60" s="683"/>
      <c r="I60" s="683"/>
      <c r="J60" s="683"/>
      <c r="K60" s="683"/>
      <c r="L60" s="683"/>
      <c r="M60" s="683"/>
      <c r="N60" s="683"/>
      <c r="O60" s="683"/>
      <c r="P60" s="683"/>
      <c r="Q60" s="683"/>
      <c r="R60" s="683"/>
      <c r="S60" s="683"/>
      <c r="T60" s="683"/>
      <c r="U60" s="621"/>
      <c r="V60" s="621"/>
      <c r="W60" s="48"/>
    </row>
    <row r="61" spans="1:96" ht="13.15">
      <c r="A61" s="37" t="s">
        <v>133</v>
      </c>
      <c r="B61" s="736" t="s">
        <v>61</v>
      </c>
      <c r="C61" s="54"/>
      <c r="D61" s="54"/>
      <c r="E61" s="54"/>
      <c r="F61" s="54"/>
      <c r="G61" s="54"/>
      <c r="H61" s="54"/>
      <c r="I61" s="54"/>
      <c r="J61" s="54"/>
      <c r="K61" s="54"/>
      <c r="L61" s="54"/>
      <c r="M61" s="54"/>
      <c r="N61" s="54"/>
      <c r="O61" s="54"/>
      <c r="P61" s="54"/>
      <c r="Q61" s="54"/>
      <c r="R61" s="54"/>
      <c r="S61" s="54"/>
      <c r="T61" s="54"/>
      <c r="U61" s="55"/>
      <c r="V61" s="55"/>
      <c r="W61" s="47"/>
    </row>
    <row r="62" spans="1:96" s="730" customFormat="1" ht="13.15">
      <c r="A62" s="538" t="s">
        <v>134</v>
      </c>
      <c r="B62" s="22" t="s">
        <v>151</v>
      </c>
      <c r="C62" s="286">
        <f>+'99'!C62-('13'!C62+'14'!C62+Law!C62+'26'!C62+'27'!C62+'40'!C62+Den!C62+Med!C62+'52'!C62)</f>
        <v>0</v>
      </c>
      <c r="D62" s="286">
        <f>+'99'!D62-('13'!D62+'14'!D62+Law!D62+'26'!D62+'27'!D62+'40'!D62+Den!D62+Med!D62+'52'!D62)</f>
        <v>0</v>
      </c>
      <c r="E62" s="286">
        <f>+'99'!E62-('13'!E62+'14'!E62+Law!E62+'26'!E62+'27'!E62+'40'!E62+Den!E62+Med!E62+'52'!E62)</f>
        <v>2</v>
      </c>
      <c r="F62" s="286">
        <f>+'99'!F62-('13'!F62+'14'!F62+Law!F62+'26'!F62+'27'!F62+'40'!F62+Den!F62+Med!F62+'52'!F62)</f>
        <v>11</v>
      </c>
      <c r="G62" s="286">
        <f>+'99'!G62-('13'!G62+'14'!G62+Law!G62+'26'!G62+'27'!G62+'40'!G62+Den!G62+Med!G62+'52'!G62)</f>
        <v>0</v>
      </c>
      <c r="H62" s="286">
        <f>+'99'!H62-('13'!H62+'14'!H62+Law!H62+'26'!H62+'27'!H62+'40'!H62+Den!H62+Med!H62+'52'!H62)</f>
        <v>0</v>
      </c>
      <c r="I62" s="286">
        <f>+'99'!I62-('13'!I62+'14'!I62+Law!I62+'26'!I62+'27'!I62+'40'!I62+Den!I62+Med!I62+'52'!I62)</f>
        <v>1</v>
      </c>
      <c r="J62" s="286">
        <f>+'99'!J62-('13'!J62+'14'!J62+Law!J62+'26'!J62+'27'!J62+'40'!J62+Den!J62+Med!J62+'52'!J62)</f>
        <v>2</v>
      </c>
      <c r="K62" s="286">
        <f>+'99'!K62-('13'!K62+'14'!K62+Law!K62+'26'!K62+'27'!K62+'40'!K62+Den!K62+Med!K62+'52'!K62)</f>
        <v>3</v>
      </c>
      <c r="L62" s="286">
        <f>+'99'!L62-('13'!L62+'14'!L62+Law!L62+'26'!L62+'27'!L62+'40'!L62+Den!L62+Med!L62+'52'!L62)</f>
        <v>8</v>
      </c>
      <c r="M62" s="286">
        <f>+'99'!M62-('13'!M62+'14'!M62+Law!M62+'26'!M62+'27'!M62+'40'!M62+Den!M62+Med!M62+'52'!M62)</f>
        <v>10</v>
      </c>
      <c r="N62" s="286">
        <f>+'99'!N62-('13'!N62+'14'!N62+Law!N62+'26'!N62+'27'!N62+'40'!N62+Den!N62+Med!N62+'52'!N62)</f>
        <v>45</v>
      </c>
      <c r="O62" s="286">
        <f>+'99'!O62-('13'!O62+'14'!O62+Law!O62+'26'!O62+'27'!O62+'40'!O62+Den!O62+Med!O62+'52'!O62)</f>
        <v>1</v>
      </c>
      <c r="P62" s="286">
        <f>+'99'!P62-('13'!P62+'14'!P62+Law!P62+'26'!P62+'27'!P62+'40'!P62+Den!P62+Med!P62+'52'!P62)</f>
        <v>4</v>
      </c>
      <c r="Q62" s="286">
        <f>+'99'!Q62-('13'!Q62+'14'!Q62+Law!Q62+'26'!Q62+'27'!Q62+'40'!Q62+Den!Q62+Med!Q62+'52'!Q62)</f>
        <v>0</v>
      </c>
      <c r="R62" s="286">
        <f>+'99'!R62-('13'!R62+'14'!R62+Law!R62+'26'!R62+'27'!R62+'40'!R62+Den!R62+Med!R62+'52'!R62)</f>
        <v>0</v>
      </c>
      <c r="S62" s="286">
        <f>+'99'!S62-('13'!S62+'14'!S62+Law!S62+'26'!S62+'27'!S62+'40'!S62+Den!S62+Med!S62+'52'!S62)</f>
        <v>0</v>
      </c>
      <c r="T62" s="286">
        <f>+'99'!T62-('13'!T62+'14'!T62+Law!T62+'26'!T62+'27'!T62+'40'!T62+Den!T62+Med!T62+'52'!T62)</f>
        <v>1</v>
      </c>
      <c r="U62" s="47">
        <f t="shared" ref="U62:V66" si="5">C62+E62+G62+I62+K62+M62+O62+Q62+S62</f>
        <v>17</v>
      </c>
      <c r="V62" s="47">
        <f t="shared" si="5"/>
        <v>71</v>
      </c>
      <c r="W62" s="44">
        <f>+V62+U62</f>
        <v>88</v>
      </c>
      <c r="X62" s="740"/>
      <c r="Y62" s="725"/>
      <c r="Z62" s="725"/>
      <c r="AA62" s="725"/>
      <c r="AB62" s="725"/>
      <c r="AC62" s="725"/>
      <c r="AD62" s="725"/>
      <c r="AE62" s="725"/>
      <c r="AF62" s="725"/>
      <c r="AG62" s="725"/>
      <c r="AH62" s="725"/>
      <c r="AI62" s="725"/>
      <c r="AJ62" s="725"/>
      <c r="AK62" s="725"/>
      <c r="AL62" s="725"/>
      <c r="AM62" s="725"/>
      <c r="AN62" s="725"/>
      <c r="AO62" s="725"/>
      <c r="AP62" s="725"/>
      <c r="AQ62" s="725"/>
      <c r="AR62" s="725"/>
      <c r="AS62" s="725"/>
      <c r="AT62" s="725"/>
      <c r="AU62" s="725"/>
      <c r="AV62" s="725"/>
      <c r="AW62" s="725"/>
      <c r="AX62" s="725"/>
      <c r="AY62" s="725"/>
      <c r="AZ62" s="725"/>
      <c r="BA62" s="725"/>
      <c r="BB62" s="725"/>
      <c r="BC62" s="725"/>
      <c r="BD62" s="725"/>
      <c r="BE62" s="725"/>
      <c r="BF62" s="725"/>
      <c r="BG62" s="725"/>
      <c r="BH62" s="725"/>
      <c r="BI62" s="725"/>
      <c r="BJ62" s="725"/>
      <c r="BK62" s="725"/>
      <c r="BL62" s="725"/>
      <c r="BM62" s="725"/>
      <c r="BN62" s="725"/>
      <c r="BO62" s="725"/>
      <c r="BP62" s="725"/>
      <c r="BQ62" s="725"/>
      <c r="BR62" s="725"/>
      <c r="BS62" s="725"/>
      <c r="BT62" s="725"/>
      <c r="BU62" s="725"/>
      <c r="BV62" s="725"/>
      <c r="BW62" s="725"/>
      <c r="BX62" s="725"/>
      <c r="BY62" s="725"/>
      <c r="BZ62" s="725"/>
      <c r="CA62" s="725"/>
      <c r="CB62" s="725"/>
      <c r="CC62" s="725"/>
      <c r="CD62" s="725"/>
      <c r="CE62" s="725"/>
      <c r="CF62" s="725"/>
      <c r="CG62" s="725"/>
      <c r="CH62" s="725"/>
      <c r="CI62" s="725"/>
      <c r="CJ62" s="725"/>
      <c r="CK62" s="725"/>
      <c r="CL62" s="725"/>
      <c r="CM62" s="725"/>
      <c r="CN62" s="725"/>
      <c r="CO62" s="725"/>
      <c r="CP62" s="725"/>
      <c r="CQ62" s="725"/>
      <c r="CR62" s="725"/>
    </row>
    <row r="63" spans="1:96" s="730" customFormat="1" ht="13.15">
      <c r="A63" s="538" t="s">
        <v>136</v>
      </c>
      <c r="B63" s="34" t="s">
        <v>152</v>
      </c>
      <c r="C63" s="286">
        <f>+'99'!C63-('13'!C63+'14'!C63+Law!C63+'26'!C63+'27'!C63+'40'!C63+Den!C63+Med!C63+'52'!C63)</f>
        <v>0</v>
      </c>
      <c r="D63" s="286">
        <f>+'99'!D63-('13'!D63+'14'!D63+Law!D63+'26'!D63+'27'!D63+'40'!D63+Den!D63+Med!D63+'52'!D63)</f>
        <v>6</v>
      </c>
      <c r="E63" s="286">
        <f>+'99'!E63-('13'!E63+'14'!E63+Law!E63+'26'!E63+'27'!E63+'40'!E63+Den!E63+Med!E63+'52'!E63)</f>
        <v>2</v>
      </c>
      <c r="F63" s="286">
        <f>+'99'!F63-('13'!F63+'14'!F63+Law!F63+'26'!F63+'27'!F63+'40'!F63+Den!F63+Med!F63+'52'!F63)</f>
        <v>28</v>
      </c>
      <c r="G63" s="286">
        <f>+'99'!G63-('13'!G63+'14'!G63+Law!G63+'26'!G63+'27'!G63+'40'!G63+Den!G63+Med!G63+'52'!G63)</f>
        <v>0</v>
      </c>
      <c r="H63" s="286">
        <f>+'99'!H63-('13'!H63+'14'!H63+Law!H63+'26'!H63+'27'!H63+'40'!H63+Den!H63+Med!H63+'52'!H63)</f>
        <v>1</v>
      </c>
      <c r="I63" s="286">
        <f>+'99'!I63-('13'!I63+'14'!I63+Law!I63+'26'!I63+'27'!I63+'40'!I63+Den!I63+Med!I63+'52'!I63)</f>
        <v>0</v>
      </c>
      <c r="J63" s="286">
        <f>+'99'!J63-('13'!J63+'14'!J63+Law!J63+'26'!J63+'27'!J63+'40'!J63+Den!J63+Med!J63+'52'!J63)</f>
        <v>3</v>
      </c>
      <c r="K63" s="286">
        <f>+'99'!K63-('13'!K63+'14'!K63+Law!K63+'26'!K63+'27'!K63+'40'!K63+Den!K63+Med!K63+'52'!K63)</f>
        <v>4</v>
      </c>
      <c r="L63" s="286">
        <f>+'99'!L63-('13'!L63+'14'!L63+Law!L63+'26'!L63+'27'!L63+'40'!L63+Den!L63+Med!L63+'52'!L63)</f>
        <v>21</v>
      </c>
      <c r="M63" s="286">
        <f>+'99'!M63-('13'!M63+'14'!M63+Law!M63+'26'!M63+'27'!M63+'40'!M63+Den!M63+Med!M63+'52'!M63)</f>
        <v>20</v>
      </c>
      <c r="N63" s="286">
        <f>+'99'!N63-('13'!N63+'14'!N63+Law!N63+'26'!N63+'27'!N63+'40'!N63+Den!N63+Med!N63+'52'!N63)</f>
        <v>106</v>
      </c>
      <c r="O63" s="286">
        <f>+'99'!O63-('13'!O63+'14'!O63+Law!O63+'26'!O63+'27'!O63+'40'!O63+Den!O63+Med!O63+'52'!O63)</f>
        <v>3</v>
      </c>
      <c r="P63" s="286">
        <f>+'99'!P63-('13'!P63+'14'!P63+Law!P63+'26'!P63+'27'!P63+'40'!P63+Den!P63+Med!P63+'52'!P63)</f>
        <v>10</v>
      </c>
      <c r="Q63" s="286">
        <f>+'99'!Q63-('13'!Q63+'14'!Q63+Law!Q63+'26'!Q63+'27'!Q63+'40'!Q63+Den!Q63+Med!Q63+'52'!Q63)</f>
        <v>0</v>
      </c>
      <c r="R63" s="286">
        <f>+'99'!R63-('13'!R63+'14'!R63+Law!R63+'26'!R63+'27'!R63+'40'!R63+Den!R63+Med!R63+'52'!R63)</f>
        <v>0</v>
      </c>
      <c r="S63" s="286">
        <f>+'99'!S63-('13'!S63+'14'!S63+Law!S63+'26'!S63+'27'!S63+'40'!S63+Den!S63+Med!S63+'52'!S63)</f>
        <v>1</v>
      </c>
      <c r="T63" s="286">
        <f>+'99'!T63-('13'!T63+'14'!T63+Law!T63+'26'!T63+'27'!T63+'40'!T63+Den!T63+Med!T63+'52'!T63)</f>
        <v>3</v>
      </c>
      <c r="U63" s="47">
        <f t="shared" si="5"/>
        <v>30</v>
      </c>
      <c r="V63" s="47">
        <f t="shared" si="5"/>
        <v>178</v>
      </c>
      <c r="W63" s="44">
        <f>+V63+U63</f>
        <v>208</v>
      </c>
      <c r="X63" s="740"/>
      <c r="Y63" s="725"/>
      <c r="Z63" s="725"/>
      <c r="AA63" s="725"/>
      <c r="AB63" s="725"/>
      <c r="AC63" s="725"/>
      <c r="AD63" s="725"/>
      <c r="AE63" s="725"/>
      <c r="AF63" s="725"/>
      <c r="AG63" s="725"/>
      <c r="AH63" s="725"/>
      <c r="AI63" s="725"/>
      <c r="AJ63" s="725"/>
      <c r="AK63" s="725"/>
      <c r="AL63" s="725"/>
      <c r="AM63" s="725"/>
      <c r="AN63" s="725"/>
      <c r="AO63" s="725"/>
      <c r="AP63" s="725"/>
      <c r="AQ63" s="725"/>
      <c r="AR63" s="725"/>
      <c r="AS63" s="725"/>
      <c r="AT63" s="725"/>
      <c r="AU63" s="725"/>
      <c r="AV63" s="725"/>
      <c r="AW63" s="725"/>
      <c r="AX63" s="725"/>
      <c r="AY63" s="725"/>
      <c r="AZ63" s="725"/>
      <c r="BA63" s="725"/>
      <c r="BB63" s="725"/>
      <c r="BC63" s="725"/>
      <c r="BD63" s="725"/>
      <c r="BE63" s="725"/>
      <c r="BF63" s="725"/>
      <c r="BG63" s="725"/>
      <c r="BH63" s="725"/>
      <c r="BI63" s="725"/>
      <c r="BJ63" s="725"/>
      <c r="BK63" s="725"/>
      <c r="BL63" s="725"/>
      <c r="BM63" s="725"/>
      <c r="BN63" s="725"/>
      <c r="BO63" s="725"/>
      <c r="BP63" s="725"/>
      <c r="BQ63" s="725"/>
      <c r="BR63" s="725"/>
      <c r="BS63" s="725"/>
      <c r="BT63" s="725"/>
      <c r="BU63" s="725"/>
      <c r="BV63" s="725"/>
      <c r="BW63" s="725"/>
      <c r="BX63" s="725"/>
      <c r="BY63" s="725"/>
      <c r="BZ63" s="725"/>
      <c r="CA63" s="725"/>
      <c r="CB63" s="725"/>
      <c r="CC63" s="725"/>
      <c r="CD63" s="725"/>
      <c r="CE63" s="725"/>
      <c r="CF63" s="725"/>
      <c r="CG63" s="725"/>
      <c r="CH63" s="725"/>
      <c r="CI63" s="725"/>
      <c r="CJ63" s="725"/>
      <c r="CK63" s="725"/>
      <c r="CL63" s="725"/>
      <c r="CM63" s="725"/>
      <c r="CN63" s="725"/>
      <c r="CO63" s="725"/>
      <c r="CP63" s="725"/>
      <c r="CQ63" s="725"/>
      <c r="CR63" s="725"/>
    </row>
    <row r="64" spans="1:96" s="730" customFormat="1" ht="26.45">
      <c r="A64" s="547" t="s">
        <v>137</v>
      </c>
      <c r="B64" s="22" t="s">
        <v>153</v>
      </c>
      <c r="C64" s="286">
        <f>+'99'!C64-('13'!C64+'14'!C64+Law!C64+'26'!C64+'27'!C64+'40'!C64+Den!C64+Med!C64+'52'!C64)</f>
        <v>0</v>
      </c>
      <c r="D64" s="286">
        <f>+'99'!D64-('13'!D64+'14'!D64+Law!D64+'26'!D64+'27'!D64+'40'!D64+Den!D64+Med!D64+'52'!D64)</f>
        <v>0</v>
      </c>
      <c r="E64" s="286">
        <f>+'99'!E64-('13'!E64+'14'!E64+Law!E64+'26'!E64+'27'!E64+'40'!E64+Den!E64+Med!E64+'52'!E64)</f>
        <v>0</v>
      </c>
      <c r="F64" s="286">
        <f>+'99'!F64-('13'!F64+'14'!F64+Law!F64+'26'!F64+'27'!F64+'40'!F64+Den!F64+Med!F64+'52'!F64)</f>
        <v>0</v>
      </c>
      <c r="G64" s="286">
        <f>+'99'!G64-('13'!G64+'14'!G64+Law!G64+'26'!G64+'27'!G64+'40'!G64+Den!G64+Med!G64+'52'!G64)</f>
        <v>0</v>
      </c>
      <c r="H64" s="286">
        <f>+'99'!H64-('13'!H64+'14'!H64+Law!H64+'26'!H64+'27'!H64+'40'!H64+Den!H64+Med!H64+'52'!H64)</f>
        <v>1</v>
      </c>
      <c r="I64" s="286">
        <f>+'99'!I64-('13'!I64+'14'!I64+Law!I64+'26'!I64+'27'!I64+'40'!I64+Den!I64+Med!I64+'52'!I64)</f>
        <v>1</v>
      </c>
      <c r="J64" s="286">
        <f>+'99'!J64-('13'!J64+'14'!J64+Law!J64+'26'!J64+'27'!J64+'40'!J64+Den!J64+Med!J64+'52'!J64)</f>
        <v>2</v>
      </c>
      <c r="K64" s="286">
        <f>+'99'!K64-('13'!K64+'14'!K64+Law!K64+'26'!K64+'27'!K64+'40'!K64+Den!K64+Med!K64+'52'!K64)</f>
        <v>0</v>
      </c>
      <c r="L64" s="286">
        <f>+'99'!L64-('13'!L64+'14'!L64+Law!L64+'26'!L64+'27'!L64+'40'!L64+Den!L64+Med!L64+'52'!L64)</f>
        <v>2</v>
      </c>
      <c r="M64" s="286">
        <f>+'99'!M64-('13'!M64+'14'!M64+Law!M64+'26'!M64+'27'!M64+'40'!M64+Den!M64+Med!M64+'52'!M64)</f>
        <v>16</v>
      </c>
      <c r="N64" s="286">
        <f>+'99'!N64-('13'!N64+'14'!N64+Law!N64+'26'!N64+'27'!N64+'40'!N64+Den!N64+Med!N64+'52'!N64)</f>
        <v>13</v>
      </c>
      <c r="O64" s="286">
        <f>+'99'!O64-('13'!O64+'14'!O64+Law!O64+'26'!O64+'27'!O64+'40'!O64+Den!O64+Med!O64+'52'!O64)</f>
        <v>7</v>
      </c>
      <c r="P64" s="286">
        <f>+'99'!P64-('13'!P64+'14'!P64+Law!P64+'26'!P64+'27'!P64+'40'!P64+Den!P64+Med!P64+'52'!P64)</f>
        <v>4</v>
      </c>
      <c r="Q64" s="286">
        <f>+'99'!Q64-('13'!Q64+'14'!Q64+Law!Q64+'26'!Q64+'27'!Q64+'40'!Q64+Den!Q64+Med!Q64+'52'!Q64)</f>
        <v>0</v>
      </c>
      <c r="R64" s="286">
        <f>+'99'!R64-('13'!R64+'14'!R64+Law!R64+'26'!R64+'27'!R64+'40'!R64+Den!R64+Med!R64+'52'!R64)</f>
        <v>0</v>
      </c>
      <c r="S64" s="286">
        <f>+'99'!S64-('13'!S64+'14'!S64+Law!S64+'26'!S64+'27'!S64+'40'!S64+Den!S64+Med!S64+'52'!S64)</f>
        <v>0</v>
      </c>
      <c r="T64" s="286">
        <f>+'99'!T64-('13'!T64+'14'!T64+Law!T64+'26'!T64+'27'!T64+'40'!T64+Den!T64+Med!T64+'52'!T64)</f>
        <v>1</v>
      </c>
      <c r="U64" s="47">
        <f t="shared" si="5"/>
        <v>24</v>
      </c>
      <c r="V64" s="47">
        <f t="shared" si="5"/>
        <v>23</v>
      </c>
      <c r="W64" s="44">
        <f>+V64+U64</f>
        <v>47</v>
      </c>
      <c r="X64" s="740"/>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25"/>
      <c r="AY64" s="725"/>
      <c r="AZ64" s="725"/>
      <c r="BA64" s="725"/>
      <c r="BB64" s="725"/>
      <c r="BC64" s="725"/>
      <c r="BD64" s="725"/>
      <c r="BE64" s="725"/>
      <c r="BF64" s="725"/>
      <c r="BG64" s="725"/>
      <c r="BH64" s="725"/>
      <c r="BI64" s="725"/>
      <c r="BJ64" s="725"/>
      <c r="BK64" s="725"/>
      <c r="BL64" s="725"/>
      <c r="BM64" s="725"/>
      <c r="BN64" s="725"/>
      <c r="BO64" s="725"/>
      <c r="BP64" s="725"/>
      <c r="BQ64" s="725"/>
      <c r="BR64" s="725"/>
      <c r="BS64" s="725"/>
      <c r="BT64" s="725"/>
      <c r="BU64" s="725"/>
      <c r="BV64" s="725"/>
      <c r="BW64" s="725"/>
      <c r="BX64" s="725"/>
      <c r="BY64" s="725"/>
      <c r="BZ64" s="725"/>
      <c r="CA64" s="725"/>
      <c r="CB64" s="725"/>
      <c r="CC64" s="725"/>
      <c r="CD64" s="725"/>
      <c r="CE64" s="725"/>
      <c r="CF64" s="725"/>
      <c r="CG64" s="725"/>
      <c r="CH64" s="725"/>
      <c r="CI64" s="725"/>
      <c r="CJ64" s="725"/>
      <c r="CK64" s="725"/>
      <c r="CL64" s="725"/>
      <c r="CM64" s="725"/>
      <c r="CN64" s="725"/>
      <c r="CO64" s="725"/>
      <c r="CP64" s="725"/>
      <c r="CQ64" s="725"/>
      <c r="CR64" s="725"/>
    </row>
    <row r="65" spans="1:96" s="742" customFormat="1" ht="27.75" customHeight="1" thickBot="1">
      <c r="A65" s="637" t="s">
        <v>187</v>
      </c>
      <c r="B65" s="551" t="s">
        <v>155</v>
      </c>
      <c r="C65" s="836">
        <f>+'99'!C65-('13'!C65+'14'!C65+Law!C65+'26'!C65+'27'!C65+'40'!C65+Den!C65+Med!C65+'52'!C65)</f>
        <v>0</v>
      </c>
      <c r="D65" s="836">
        <f>+'99'!D65-('13'!D65+'14'!D65+Law!D65+'26'!D65+'27'!D65+'40'!D65+Den!D65+Med!D65+'52'!D65)</f>
        <v>6</v>
      </c>
      <c r="E65" s="836">
        <f>+'99'!E65-('13'!E65+'14'!E65+Law!E65+'26'!E65+'27'!E65+'40'!E65+Den!E65+Med!E65+'52'!E65)</f>
        <v>4</v>
      </c>
      <c r="F65" s="836">
        <f>+'99'!F65-('13'!F65+'14'!F65+Law!F65+'26'!F65+'27'!F65+'40'!F65+Den!F65+Med!F65+'52'!F65)</f>
        <v>39</v>
      </c>
      <c r="G65" s="836">
        <f>+'99'!G65-('13'!G65+'14'!G65+Law!G65+'26'!G65+'27'!G65+'40'!G65+Den!G65+Med!G65+'52'!G65)</f>
        <v>0</v>
      </c>
      <c r="H65" s="836">
        <f>+'99'!H65-('13'!H65+'14'!H65+Law!H65+'26'!H65+'27'!H65+'40'!H65+Den!H65+Med!H65+'52'!H65)</f>
        <v>2</v>
      </c>
      <c r="I65" s="836">
        <f>+'99'!I65-('13'!I65+'14'!I65+Law!I65+'26'!I65+'27'!I65+'40'!I65+Den!I65+Med!I65+'52'!I65)</f>
        <v>2</v>
      </c>
      <c r="J65" s="836">
        <f>+'99'!J65-('13'!J65+'14'!J65+Law!J65+'26'!J65+'27'!J65+'40'!J65+Den!J65+Med!J65+'52'!J65)</f>
        <v>7</v>
      </c>
      <c r="K65" s="836">
        <f>+'99'!K65-('13'!K65+'14'!K65+Law!K65+'26'!K65+'27'!K65+'40'!K65+Den!K65+Med!K65+'52'!K65)</f>
        <v>7</v>
      </c>
      <c r="L65" s="836">
        <f>+'99'!L65-('13'!L65+'14'!L65+Law!L65+'26'!L65+'27'!L65+'40'!L65+Den!L65+Med!L65+'52'!L65)</f>
        <v>31</v>
      </c>
      <c r="M65" s="836">
        <f>+'99'!M65-('13'!M65+'14'!M65+Law!M65+'26'!M65+'27'!M65+'40'!M65+Den!M65+Med!M65+'52'!M65)</f>
        <v>46</v>
      </c>
      <c r="N65" s="836">
        <f>+'99'!N65-('13'!N65+'14'!N65+Law!N65+'26'!N65+'27'!N65+'40'!N65+Den!N65+Med!N65+'52'!N65)</f>
        <v>164</v>
      </c>
      <c r="O65" s="836">
        <f>+'99'!O65-('13'!O65+'14'!O65+Law!O65+'26'!O65+'27'!O65+'40'!O65+Den!O65+Med!O65+'52'!O65)</f>
        <v>11</v>
      </c>
      <c r="P65" s="836">
        <f>+'99'!P65-('13'!P65+'14'!P65+Law!P65+'26'!P65+'27'!P65+'40'!P65+Den!P65+Med!P65+'52'!P65)</f>
        <v>18</v>
      </c>
      <c r="Q65" s="836">
        <f>+'99'!Q65-('13'!Q65+'14'!Q65+Law!Q65+'26'!Q65+'27'!Q65+'40'!Q65+Den!Q65+Med!Q65+'52'!Q65)</f>
        <v>0</v>
      </c>
      <c r="R65" s="836">
        <f>+'99'!R65-('13'!R65+'14'!R65+Law!R65+'26'!R65+'27'!R65+'40'!R65+Den!R65+Med!R65+'52'!R65)</f>
        <v>0</v>
      </c>
      <c r="S65" s="836">
        <f>+'99'!S65-('13'!S65+'14'!S65+Law!S65+'26'!S65+'27'!S65+'40'!S65+Den!S65+Med!S65+'52'!S65)</f>
        <v>1</v>
      </c>
      <c r="T65" s="836">
        <f>+'99'!T65-('13'!T65+'14'!T65+Law!T65+'26'!T65+'27'!T65+'40'!T65+Den!T65+Med!T65+'52'!T65)</f>
        <v>5</v>
      </c>
      <c r="U65" s="837">
        <f t="shared" si="5"/>
        <v>71</v>
      </c>
      <c r="V65" s="837">
        <f t="shared" si="5"/>
        <v>272</v>
      </c>
      <c r="W65" s="553">
        <f>+V65+U65</f>
        <v>343</v>
      </c>
      <c r="X65" s="725"/>
      <c r="Y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row>
    <row r="66" spans="1:96" s="748" customFormat="1" ht="32.25" customHeight="1" thickTop="1">
      <c r="A66" s="838" t="s">
        <v>156</v>
      </c>
      <c r="B66" s="839" t="s">
        <v>157</v>
      </c>
      <c r="C66" s="280">
        <f>+'99'!C66-('13'!C66+'14'!C66+Law!C66+'26'!C66+'27'!C66+'40'!C66+Den!C66+Med!C66+'52'!C66)</f>
        <v>2</v>
      </c>
      <c r="D66" s="280">
        <f>+'99'!D66-('13'!D66+'14'!D66+Law!D66+'26'!D66+'27'!D66+'40'!D66+Den!D66+Med!D66+'52'!D66)</f>
        <v>9</v>
      </c>
      <c r="E66" s="280">
        <f>+'99'!E66-('13'!E66+'14'!E66+Law!E66+'26'!E66+'27'!E66+'40'!E66+Den!E66+Med!E66+'52'!E66)</f>
        <v>124</v>
      </c>
      <c r="F66" s="280">
        <f>+'99'!F66-('13'!F66+'14'!F66+Law!F66+'26'!F66+'27'!F66+'40'!F66+Den!F66+Med!F66+'52'!F66)</f>
        <v>175</v>
      </c>
      <c r="G66" s="280">
        <f>+'99'!G66-('13'!G66+'14'!G66+Law!G66+'26'!G66+'27'!G66+'40'!G66+Den!G66+Med!G66+'52'!G66)</f>
        <v>0</v>
      </c>
      <c r="H66" s="280">
        <f>+'99'!H66-('13'!H66+'14'!H66+Law!H66+'26'!H66+'27'!H66+'40'!H66+Den!H66+Med!H66+'52'!H66)</f>
        <v>9</v>
      </c>
      <c r="I66" s="280">
        <f>+'99'!I66-('13'!I66+'14'!I66+Law!I66+'26'!I66+'27'!I66+'40'!I66+Den!I66+Med!I66+'52'!I66)</f>
        <v>55</v>
      </c>
      <c r="J66" s="280">
        <f>+'99'!J66-('13'!J66+'14'!J66+Law!J66+'26'!J66+'27'!J66+'40'!J66+Den!J66+Med!J66+'52'!J66)</f>
        <v>70</v>
      </c>
      <c r="K66" s="280">
        <f>+'99'!K66-('13'!K66+'14'!K66+Law!K66+'26'!K66+'27'!K66+'40'!K66+Den!K66+Med!K66+'52'!K66)</f>
        <v>260</v>
      </c>
      <c r="L66" s="280">
        <f>+'99'!L66-('13'!L66+'14'!L66+Law!L66+'26'!L66+'27'!L66+'40'!L66+Den!L66+Med!L66+'52'!L66)</f>
        <v>445</v>
      </c>
      <c r="M66" s="280">
        <f>+'99'!M66-('13'!M66+'14'!M66+Law!M66+'26'!M66+'27'!M66+'40'!M66+Den!M66+Med!M66+'52'!M66)</f>
        <v>688</v>
      </c>
      <c r="N66" s="280">
        <f>+'99'!N66-('13'!N66+'14'!N66+Law!N66+'26'!N66+'27'!N66+'40'!N66+Den!N66+Med!N66+'52'!N66)</f>
        <v>963</v>
      </c>
      <c r="O66" s="280">
        <f>+'99'!O66-('13'!O66+'14'!O66+Law!O66+'26'!O66+'27'!O66+'40'!O66+Den!O66+Med!O66+'52'!O66)</f>
        <v>52</v>
      </c>
      <c r="P66" s="280">
        <f>+'99'!P66-('13'!P66+'14'!P66+Law!P66+'26'!P66+'27'!P66+'40'!P66+Den!P66+Med!P66+'52'!P66)</f>
        <v>82</v>
      </c>
      <c r="Q66" s="280">
        <f>+'99'!Q66-('13'!Q66+'14'!Q66+Law!Q66+'26'!Q66+'27'!Q66+'40'!Q66+Den!Q66+Med!Q66+'52'!Q66)</f>
        <v>0</v>
      </c>
      <c r="R66" s="280">
        <f>+'99'!R66-('13'!R66+'14'!R66+Law!R66+'26'!R66+'27'!R66+'40'!R66+Den!R66+Med!R66+'52'!R66)</f>
        <v>1</v>
      </c>
      <c r="S66" s="280">
        <f>+'99'!S66-('13'!S66+'14'!S66+Law!S66+'26'!S66+'27'!S66+'40'!S66+Den!S66+Med!S66+'52'!S66)</f>
        <v>50</v>
      </c>
      <c r="T66" s="280">
        <f>+'99'!T66-('13'!T66+'14'!T66+Law!T66+'26'!T66+'27'!T66+'40'!T66+Den!T66+Med!T66+'52'!T66)</f>
        <v>73</v>
      </c>
      <c r="U66" s="47">
        <f t="shared" si="5"/>
        <v>1231</v>
      </c>
      <c r="V66" s="47">
        <f t="shared" si="5"/>
        <v>1827</v>
      </c>
      <c r="W66" s="49">
        <f>+V66+U66</f>
        <v>3058</v>
      </c>
      <c r="X66" s="740"/>
    </row>
    <row r="67" spans="1:96" ht="24.75" customHeight="1">
      <c r="O67"/>
      <c r="P67"/>
      <c r="Q67"/>
      <c r="R67"/>
      <c r="S67"/>
      <c r="T67"/>
      <c r="U67"/>
      <c r="V67"/>
      <c r="W67"/>
      <c r="X67"/>
    </row>
    <row r="68" spans="1:96" ht="15.6">
      <c r="O68"/>
      <c r="P68"/>
      <c r="Q68"/>
      <c r="R68"/>
      <c r="S68"/>
      <c r="T68"/>
      <c r="U68"/>
      <c r="V68"/>
      <c r="W68"/>
      <c r="X68"/>
    </row>
    <row r="69" spans="1:96" ht="15.6">
      <c r="O69"/>
      <c r="P69"/>
      <c r="Q69"/>
      <c r="R69"/>
      <c r="S69"/>
      <c r="T69"/>
      <c r="U69"/>
      <c r="V69"/>
      <c r="W69"/>
      <c r="X69"/>
    </row>
    <row r="70" spans="1:96" ht="15.6">
      <c r="O70"/>
      <c r="P70"/>
      <c r="Q70"/>
      <c r="R70"/>
      <c r="S70"/>
      <c r="T70"/>
      <c r="U70"/>
      <c r="V70"/>
      <c r="W70"/>
      <c r="X70"/>
    </row>
    <row r="71" spans="1:96" ht="15.6">
      <c r="O71"/>
      <c r="P71"/>
      <c r="Q71"/>
      <c r="R71"/>
      <c r="S71"/>
      <c r="T71"/>
      <c r="U71"/>
      <c r="V71"/>
      <c r="W71"/>
      <c r="X71"/>
    </row>
    <row r="72" spans="1:96" ht="15.6">
      <c r="O72"/>
      <c r="P72"/>
      <c r="Q72"/>
      <c r="R72"/>
      <c r="S72"/>
      <c r="T72"/>
      <c r="U72"/>
      <c r="V72"/>
      <c r="W72"/>
      <c r="X72"/>
    </row>
    <row r="73" spans="1:96" ht="15.6">
      <c r="O73"/>
      <c r="P73"/>
      <c r="Q73"/>
      <c r="R73"/>
      <c r="S73"/>
      <c r="T73"/>
      <c r="U73"/>
      <c r="V73"/>
      <c r="W73"/>
      <c r="X73"/>
    </row>
  </sheetData>
  <mergeCells count="64">
    <mergeCell ref="S40:T40"/>
    <mergeCell ref="K12:L12"/>
    <mergeCell ref="A20:W20"/>
    <mergeCell ref="S41:T41"/>
    <mergeCell ref="C42:D42"/>
    <mergeCell ref="E42:F42"/>
    <mergeCell ref="G42:H42"/>
    <mergeCell ref="I42:J42"/>
    <mergeCell ref="Q42:R42"/>
    <mergeCell ref="S42:T42"/>
    <mergeCell ref="K42:L42"/>
    <mergeCell ref="M42:N42"/>
    <mergeCell ref="O42:P42"/>
    <mergeCell ref="C12:D12"/>
    <mergeCell ref="E12:F12"/>
    <mergeCell ref="G12:H12"/>
    <mergeCell ref="I12:J12"/>
    <mergeCell ref="C40:D40"/>
    <mergeCell ref="E40:F40"/>
    <mergeCell ref="G40:H40"/>
    <mergeCell ref="I40:J40"/>
    <mergeCell ref="Q11:R11"/>
    <mergeCell ref="S11:T11"/>
    <mergeCell ref="M12:N12"/>
    <mergeCell ref="O12:P12"/>
    <mergeCell ref="Q12:R12"/>
    <mergeCell ref="S12:T12"/>
    <mergeCell ref="G11:H11"/>
    <mergeCell ref="I11:J11"/>
    <mergeCell ref="K11:L11"/>
    <mergeCell ref="M11:N11"/>
    <mergeCell ref="O11:P11"/>
    <mergeCell ref="A50:W50"/>
    <mergeCell ref="A40:A41"/>
    <mergeCell ref="A42:A43"/>
    <mergeCell ref="A45:W45"/>
    <mergeCell ref="C41:D41"/>
    <mergeCell ref="E41:F41"/>
    <mergeCell ref="G41:H41"/>
    <mergeCell ref="I41:J41"/>
    <mergeCell ref="K41:L41"/>
    <mergeCell ref="M41:N41"/>
    <mergeCell ref="O41:P41"/>
    <mergeCell ref="Q41:R41"/>
    <mergeCell ref="K40:L40"/>
    <mergeCell ref="M40:N40"/>
    <mergeCell ref="O40:P40"/>
    <mergeCell ref="Q40:R40"/>
    <mergeCell ref="N5:P5"/>
    <mergeCell ref="A15:W15"/>
    <mergeCell ref="A10:A11"/>
    <mergeCell ref="A12:A13"/>
    <mergeCell ref="B2:J6"/>
    <mergeCell ref="C10:D10"/>
    <mergeCell ref="E10:F10"/>
    <mergeCell ref="G10:H10"/>
    <mergeCell ref="I10:J10"/>
    <mergeCell ref="K10:L10"/>
    <mergeCell ref="M10:N10"/>
    <mergeCell ref="O10:P10"/>
    <mergeCell ref="Q10:R10"/>
    <mergeCell ref="S10:T10"/>
    <mergeCell ref="C11:D11"/>
    <mergeCell ref="E11:F11"/>
  </mergeCells>
  <phoneticPr fontId="54" type="noConversion"/>
  <pageMargins left="0.47" right="0.35" top="0.48" bottom="0.38" header="0" footer="0.25"/>
  <pageSetup fitToHeight="2" orientation="landscape" horizontalDpi="4294967292" verticalDpi="300" r:id="rId1"/>
  <headerFooter alignWithMargins="0">
    <oddFooter>Page &amp;P of &amp;N</oddFooter>
  </headerFooter>
  <rowBreaks count="1" manualBreakCount="1">
    <brk id="35"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dimension ref="A1:CR73"/>
  <sheetViews>
    <sheetView showGridLines="0" defaultGridColor="0" colorId="8" zoomScaleNormal="100" zoomScaleSheetLayoutView="50" workbookViewId="0"/>
  </sheetViews>
  <sheetFormatPr defaultColWidth="0" defaultRowHeight="10.15"/>
  <cols>
    <col min="1" max="1" width="36.125" style="725" customWidth="1"/>
    <col min="2" max="2" width="3" style="729" customWidth="1"/>
    <col min="3" max="3" width="6.625" style="725" customWidth="1"/>
    <col min="4" max="4" width="4.5" style="725" customWidth="1"/>
    <col min="5" max="5" width="4.125" style="725" customWidth="1"/>
    <col min="6" max="6" width="4.5" style="725" customWidth="1"/>
    <col min="7" max="7" width="4.125" style="725" customWidth="1"/>
    <col min="8" max="8" width="4.5" style="725" customWidth="1"/>
    <col min="9" max="9" width="4.125" style="725" customWidth="1"/>
    <col min="10" max="10" width="4.5" style="725" customWidth="1"/>
    <col min="11" max="11" width="4.125" style="725" customWidth="1"/>
    <col min="12" max="12" width="4.5" style="725" customWidth="1"/>
    <col min="13" max="14" width="5.125" style="725" customWidth="1"/>
    <col min="15" max="15" width="4.125" style="725" customWidth="1"/>
    <col min="16" max="20" width="4.5" style="725" customWidth="1"/>
    <col min="21" max="23" width="5.625" style="726" customWidth="1"/>
    <col min="24" max="24" width="1.875" style="725" customWidth="1"/>
    <col min="25" max="53" width="6.625" style="725" hidden="1" customWidth="1"/>
    <col min="54" max="16384" width="0" style="725" hidden="1"/>
  </cols>
  <sheetData>
    <row r="1" spans="1:96" s="717" customFormat="1" ht="30">
      <c r="A1" s="815" t="str">
        <f>'99'!A1</f>
        <v>FALL ENROLLMENT 2021</v>
      </c>
      <c r="B1" s="716"/>
      <c r="C1" s="716"/>
      <c r="D1" s="716"/>
      <c r="E1" s="716"/>
      <c r="F1" s="716"/>
      <c r="G1" s="716"/>
      <c r="H1" s="716"/>
      <c r="I1" s="716"/>
      <c r="J1" s="716"/>
      <c r="K1" s="716"/>
      <c r="L1" s="716"/>
      <c r="M1" s="716"/>
      <c r="N1" s="716"/>
      <c r="O1" s="716"/>
      <c r="P1" s="716"/>
      <c r="Q1" s="716"/>
      <c r="R1" s="716"/>
      <c r="S1" s="716"/>
      <c r="T1" s="716"/>
      <c r="U1" s="716"/>
      <c r="V1" s="749" t="s">
        <v>188</v>
      </c>
      <c r="W1" s="749" t="s">
        <v>189</v>
      </c>
      <c r="X1" s="251">
        <f>IF(COUNT(C18:P25,C28:P29,C32:P34,C48:P55,C58:P59,C62:P64)&gt;0,1,0)</f>
        <v>0</v>
      </c>
    </row>
    <row r="2" spans="1:96" s="718" customFormat="1">
      <c r="A2" s="249" t="str">
        <f>+'99'!A2</f>
        <v>2122</v>
      </c>
      <c r="B2" s="769"/>
      <c r="C2" s="769"/>
      <c r="D2" s="769"/>
      <c r="E2" s="769"/>
      <c r="F2" s="769"/>
      <c r="G2" s="769"/>
      <c r="H2" s="769"/>
      <c r="I2" s="769"/>
      <c r="J2" s="769"/>
    </row>
    <row r="3" spans="1:96" s="717" customFormat="1" ht="13.9" thickBot="1">
      <c r="A3" s="802" t="str">
        <f>+Cover!$A$8</f>
        <v>Western Connecticut State University</v>
      </c>
      <c r="B3" s="803"/>
      <c r="C3" s="804"/>
      <c r="D3" s="803"/>
      <c r="E3" s="803"/>
      <c r="F3" s="803"/>
      <c r="G3" s="803"/>
      <c r="H3" s="803"/>
      <c r="I3" s="803"/>
      <c r="J3" s="803"/>
      <c r="K3" s="563" t="s">
        <v>48</v>
      </c>
      <c r="L3" s="805"/>
      <c r="M3" s="562"/>
      <c r="N3" s="806" t="str">
        <f>+Cover!$A$10</f>
        <v>Jerry Wilcox</v>
      </c>
      <c r="O3" s="807"/>
      <c r="P3" s="808"/>
      <c r="Q3" s="808"/>
      <c r="R3" s="808"/>
      <c r="S3" s="808"/>
      <c r="T3" s="808"/>
      <c r="U3" s="807"/>
    </row>
    <row r="4" spans="1:96" s="717" customFormat="1" ht="13.9" thickBot="1">
      <c r="A4" s="802">
        <f>+Cover!$B$8</f>
        <v>130776</v>
      </c>
      <c r="B4" s="803"/>
      <c r="C4" s="804"/>
      <c r="D4" s="803"/>
      <c r="E4" s="809"/>
      <c r="F4" s="803"/>
      <c r="G4" s="809"/>
      <c r="H4" s="803"/>
      <c r="I4" s="809"/>
      <c r="J4" s="803"/>
      <c r="K4" s="563" t="s">
        <v>49</v>
      </c>
      <c r="L4" s="805"/>
      <c r="M4" s="564"/>
      <c r="N4" s="806" t="str">
        <f>+Cover!$B$10</f>
        <v>Director, Institutional Research and Assessment</v>
      </c>
      <c r="O4" s="807"/>
      <c r="P4" s="808"/>
      <c r="Q4" s="808"/>
      <c r="R4" s="808"/>
      <c r="S4" s="808"/>
      <c r="T4" s="808"/>
      <c r="U4" s="807"/>
    </row>
    <row r="5" spans="1:96" s="717" customFormat="1" ht="16.149999999999999" thickBot="1">
      <c r="A5" s="810" t="str">
        <f>+Cover!$C$8</f>
        <v>Danbury</v>
      </c>
      <c r="B5" s="803"/>
      <c r="C5" s="804"/>
      <c r="D5" s="803"/>
      <c r="E5" s="809"/>
      <c r="F5" s="803"/>
      <c r="G5" s="809"/>
      <c r="H5" s="803"/>
      <c r="I5" s="809"/>
      <c r="J5" s="803"/>
      <c r="K5" s="563" t="s">
        <v>50</v>
      </c>
      <c r="L5" s="805"/>
      <c r="M5" s="564"/>
      <c r="N5" s="1027" t="str">
        <f>+Cover!$C$10</f>
        <v>203-837-8242</v>
      </c>
      <c r="O5" s="1158"/>
      <c r="P5" s="1158"/>
      <c r="Q5"/>
      <c r="R5"/>
      <c r="S5"/>
      <c r="T5"/>
      <c r="U5" s="562"/>
    </row>
    <row r="6" spans="1:96" ht="32.25" customHeight="1" thickTop="1" thickBot="1">
      <c r="A6" s="765"/>
      <c r="B6" s="766" t="s">
        <v>190</v>
      </c>
      <c r="C6" s="767">
        <f>COUNTIF('90'!C18:C35,"&lt; 0")+COUNTIF('90'!C48:C66,"&lt; 0")</f>
        <v>0</v>
      </c>
      <c r="D6" s="767">
        <f>COUNTIF('90'!D18:D35,"&lt; 0")+COUNTIF('90'!D48:D66,"&lt; 0")</f>
        <v>0</v>
      </c>
      <c r="E6" s="767">
        <f>COUNTIF('90'!E18:E35,"&lt; 0")+COUNTIF('90'!E48:E66,"&lt; 0")</f>
        <v>0</v>
      </c>
      <c r="F6" s="767">
        <f>COUNTIF('90'!F18:F35,"&lt; 0")+COUNTIF('90'!F48:F66,"&lt; 0")</f>
        <v>0</v>
      </c>
      <c r="G6" s="767">
        <f>COUNTIF('90'!G18:G35,"&lt; 0")+COUNTIF('90'!G48:G66,"&lt; 0")</f>
        <v>0</v>
      </c>
      <c r="H6" s="767">
        <f>COUNTIF('90'!H18:H35,"&lt; 0")+COUNTIF('90'!H48:H66,"&lt; 0")</f>
        <v>0</v>
      </c>
      <c r="I6" s="767">
        <f>COUNTIF('90'!I18:I35,"&lt; 0")+COUNTIF('90'!I48:I66,"&lt; 0")</f>
        <v>0</v>
      </c>
      <c r="J6" s="767">
        <f>COUNTIF('90'!J18:J35,"&lt; 0")+COUNTIF('90'!J48:J66,"&lt; 0")</f>
        <v>0</v>
      </c>
      <c r="K6" s="767">
        <f>COUNTIF('90'!K18:K35,"&lt; 0")+COUNTIF('90'!K48:K66,"&lt; 0")</f>
        <v>0</v>
      </c>
      <c r="L6" s="767">
        <f>COUNTIF('90'!L18:L35,"&lt; 0")+COUNTIF('90'!L48:L66,"&lt; 0")</f>
        <v>0</v>
      </c>
      <c r="M6" s="767">
        <f>COUNTIF('90'!M18:M35,"&lt; 0")+COUNTIF('90'!M48:M66,"&lt; 0")</f>
        <v>0</v>
      </c>
      <c r="N6" s="767">
        <f>COUNTIF('90'!N18:N35,"&lt; 0")+COUNTIF('90'!N48:N66,"&lt; 0")</f>
        <v>0</v>
      </c>
      <c r="O6" s="767">
        <f>COUNTIF('90'!O18:O35,"&lt; 0")+COUNTIF('90'!O48:O66,"&lt; 0")</f>
        <v>0</v>
      </c>
      <c r="P6" s="767">
        <f>COUNTIF('90'!P18:P35,"&lt; 0")+COUNTIF('90'!P48:P66,"&lt; 0")</f>
        <v>0</v>
      </c>
      <c r="Q6" s="767">
        <f>COUNTIF('90'!Q18:Q35,"&lt; 0")+COUNTIF('90'!Q48:Q66,"&lt; 0")</f>
        <v>0</v>
      </c>
      <c r="R6" s="767">
        <f>COUNTIF('90'!R18:R35,"&lt; 0")+COUNTIF('90'!R48:R66,"&lt; 0")</f>
        <v>0</v>
      </c>
      <c r="S6" s="767">
        <f>COUNTIF('90'!S18:S35,"&lt; 0")+COUNTIF('90'!S48:S66,"&lt; 0")</f>
        <v>0</v>
      </c>
      <c r="T6" s="767">
        <f>COUNTIF('90'!T18:T35,"&lt; 0")+COUNTIF('90'!T48:T66,"&lt; 0")</f>
        <v>0</v>
      </c>
      <c r="U6" s="767">
        <f>COUNTIF('90'!U18:U35,"&lt; 0")+COUNTIF('90'!U48:U66,"&lt; 0")</f>
        <v>0</v>
      </c>
      <c r="V6" s="767">
        <f>COUNTIF('90'!V18:V35,"&lt; 0")+COUNTIF('90'!V48:V66,"&lt; 0")</f>
        <v>0</v>
      </c>
      <c r="W6" s="768">
        <f>COUNTIF('90'!W18:W35,"&lt; 0")+COUNTIF('90'!W48:W66,"&lt; 0")</f>
        <v>0</v>
      </c>
    </row>
    <row r="7" spans="1:96" ht="13.5" customHeight="1" thickTop="1">
      <c r="A7" s="770" t="s">
        <v>182</v>
      </c>
      <c r="C7" s="1030">
        <f>SUM(C6:W6)</f>
        <v>0</v>
      </c>
      <c r="D7" s="1032" t="s">
        <v>191</v>
      </c>
      <c r="E7" s="1032"/>
      <c r="F7" s="1032"/>
      <c r="G7" s="1032"/>
      <c r="H7" s="1032"/>
      <c r="I7" s="1032"/>
      <c r="J7" s="1033"/>
    </row>
    <row r="8" spans="1:96" ht="12" customHeight="1" thickBot="1">
      <c r="A8" s="724" t="s">
        <v>52</v>
      </c>
      <c r="C8" s="1031"/>
      <c r="D8" s="1034"/>
      <c r="E8" s="1034"/>
      <c r="F8" s="1034"/>
      <c r="G8" s="1034"/>
      <c r="H8" s="1034"/>
      <c r="I8" s="1034"/>
      <c r="J8" s="1035"/>
    </row>
    <row r="9" spans="1:96" s="730" customFormat="1" ht="9" customHeight="1" thickTop="1">
      <c r="B9" s="731"/>
      <c r="C9" s="732"/>
      <c r="D9" s="732"/>
      <c r="E9" s="732"/>
      <c r="F9" s="732"/>
      <c r="G9" s="732"/>
      <c r="H9" s="732"/>
      <c r="I9" s="732"/>
      <c r="J9" s="732"/>
      <c r="K9" s="732"/>
      <c r="L9" s="732"/>
      <c r="M9" s="732"/>
      <c r="N9" s="732"/>
      <c r="O9" s="732"/>
      <c r="P9" s="732"/>
      <c r="Q9" s="732"/>
      <c r="R9" s="732"/>
      <c r="S9" s="732"/>
      <c r="T9" s="732"/>
      <c r="U9" s="732"/>
      <c r="V9" s="732"/>
      <c r="W9" s="720"/>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5"/>
      <c r="AY9" s="725"/>
      <c r="AZ9" s="725"/>
      <c r="BA9" s="725"/>
      <c r="BB9" s="725"/>
      <c r="BC9" s="725"/>
      <c r="BD9" s="725"/>
      <c r="BE9" s="725"/>
      <c r="BF9" s="725"/>
      <c r="BG9" s="725"/>
      <c r="BH9" s="725"/>
      <c r="BI9" s="725"/>
      <c r="BJ9" s="725"/>
      <c r="BK9" s="725"/>
      <c r="BL9" s="725"/>
      <c r="BM9" s="725"/>
      <c r="BN9" s="725"/>
      <c r="BO9" s="725"/>
      <c r="BP9" s="725"/>
      <c r="BQ9" s="725"/>
      <c r="BR9" s="725"/>
      <c r="BS9" s="725"/>
      <c r="BT9" s="725"/>
      <c r="BU9" s="725"/>
      <c r="BV9" s="725"/>
      <c r="BW9" s="725"/>
      <c r="BX9" s="725"/>
      <c r="BY9" s="725"/>
      <c r="BZ9" s="725"/>
      <c r="CA9" s="725"/>
      <c r="CB9" s="725"/>
      <c r="CC9" s="725"/>
      <c r="CD9" s="725"/>
      <c r="CE9" s="725"/>
      <c r="CF9" s="725"/>
      <c r="CG9" s="725"/>
      <c r="CH9" s="725"/>
      <c r="CI9" s="725"/>
      <c r="CJ9" s="725"/>
      <c r="CK9" s="725"/>
      <c r="CL9" s="725"/>
      <c r="CM9" s="725"/>
      <c r="CN9" s="725"/>
      <c r="CO9" s="725"/>
      <c r="CP9" s="725"/>
      <c r="CQ9" s="725"/>
      <c r="CR9" s="725"/>
    </row>
    <row r="10" spans="1:96" ht="11.25" customHeight="1">
      <c r="A10" s="999" t="s">
        <v>192</v>
      </c>
      <c r="B10" s="36"/>
      <c r="C10" s="991" t="s">
        <v>54</v>
      </c>
      <c r="D10" s="992"/>
      <c r="E10" s="991" t="s">
        <v>55</v>
      </c>
      <c r="F10" s="992"/>
      <c r="G10" s="991" t="s">
        <v>56</v>
      </c>
      <c r="H10" s="992"/>
      <c r="I10" s="991"/>
      <c r="J10" s="992"/>
      <c r="K10" s="991" t="s">
        <v>57</v>
      </c>
      <c r="L10" s="992"/>
      <c r="M10" s="991"/>
      <c r="N10" s="992"/>
      <c r="O10" s="991" t="s">
        <v>58</v>
      </c>
      <c r="P10" s="992"/>
      <c r="Q10" s="991" t="s">
        <v>59</v>
      </c>
      <c r="R10" s="992"/>
      <c r="S10" s="991" t="s">
        <v>60</v>
      </c>
      <c r="T10" s="992"/>
      <c r="U10" s="59" t="s">
        <v>61</v>
      </c>
      <c r="V10" s="60"/>
      <c r="W10" s="61"/>
    </row>
    <row r="11" spans="1:96" ht="11.25" customHeight="1">
      <c r="A11" s="1000"/>
      <c r="B11" s="20"/>
      <c r="C11" s="993" t="s">
        <v>62</v>
      </c>
      <c r="D11" s="994"/>
      <c r="E11" s="993" t="s">
        <v>63</v>
      </c>
      <c r="F11" s="994"/>
      <c r="G11" s="993" t="s">
        <v>64</v>
      </c>
      <c r="H11" s="994"/>
      <c r="I11" s="993" t="s">
        <v>65</v>
      </c>
      <c r="J11" s="994"/>
      <c r="K11" s="993" t="s">
        <v>66</v>
      </c>
      <c r="L11" s="994"/>
      <c r="M11" s="993" t="s">
        <v>67</v>
      </c>
      <c r="N11" s="994"/>
      <c r="O11" s="993" t="s">
        <v>68</v>
      </c>
      <c r="P11" s="994"/>
      <c r="Q11" s="993" t="s">
        <v>69</v>
      </c>
      <c r="R11" s="994"/>
      <c r="S11" s="993" t="s">
        <v>70</v>
      </c>
      <c r="T11" s="994"/>
      <c r="U11" s="62" t="s">
        <v>71</v>
      </c>
      <c r="V11" s="63"/>
      <c r="W11" s="64"/>
    </row>
    <row r="12" spans="1:96" s="730" customFormat="1" ht="12" customHeight="1">
      <c r="A12" s="1028" t="s">
        <v>193</v>
      </c>
      <c r="B12" s="20"/>
      <c r="C12" s="995" t="s">
        <v>73</v>
      </c>
      <c r="D12" s="996"/>
      <c r="E12" s="995" t="s">
        <v>56</v>
      </c>
      <c r="F12" s="996"/>
      <c r="G12" s="995" t="s">
        <v>74</v>
      </c>
      <c r="H12" s="996"/>
      <c r="I12" s="995"/>
      <c r="J12" s="996"/>
      <c r="K12" s="995" t="s">
        <v>75</v>
      </c>
      <c r="L12" s="996"/>
      <c r="M12" s="995"/>
      <c r="N12" s="996"/>
      <c r="O12" s="995" t="s">
        <v>76</v>
      </c>
      <c r="P12" s="996"/>
      <c r="Q12" s="995" t="s">
        <v>77</v>
      </c>
      <c r="R12" s="996"/>
      <c r="S12" s="995" t="s">
        <v>78</v>
      </c>
      <c r="T12" s="996"/>
      <c r="U12" s="65" t="s">
        <v>79</v>
      </c>
      <c r="V12" s="66"/>
      <c r="W12" s="67"/>
      <c r="X12" s="725"/>
      <c r="Y12" s="725"/>
      <c r="Z12" s="725"/>
      <c r="AA12" s="725"/>
      <c r="AB12" s="725"/>
      <c r="AC12" s="725"/>
      <c r="AD12" s="725"/>
      <c r="AE12" s="725"/>
      <c r="AF12" s="725"/>
      <c r="AG12" s="725"/>
      <c r="AH12" s="725"/>
      <c r="AI12" s="725"/>
      <c r="AJ12" s="725"/>
      <c r="AK12" s="725"/>
      <c r="AL12" s="725"/>
      <c r="AM12" s="725"/>
      <c r="AN12" s="725"/>
      <c r="AO12" s="725"/>
      <c r="AP12" s="725"/>
      <c r="AQ12" s="725"/>
      <c r="AR12" s="725"/>
      <c r="AS12" s="725"/>
      <c r="AT12" s="725"/>
      <c r="AU12" s="725"/>
      <c r="AV12" s="725"/>
      <c r="AW12" s="725"/>
      <c r="AX12" s="725"/>
      <c r="AY12" s="725"/>
      <c r="AZ12" s="725"/>
      <c r="BA12" s="725"/>
      <c r="BB12" s="725"/>
      <c r="BC12" s="725"/>
      <c r="BD12" s="725"/>
      <c r="BE12" s="725"/>
      <c r="BF12" s="725"/>
      <c r="BG12" s="725"/>
      <c r="BH12" s="725"/>
      <c r="BI12" s="725"/>
      <c r="BJ12" s="725"/>
      <c r="BK12" s="725"/>
      <c r="BL12" s="725"/>
      <c r="BM12" s="725"/>
      <c r="BN12" s="725"/>
      <c r="BO12" s="725"/>
      <c r="BP12" s="725"/>
      <c r="BQ12" s="725"/>
      <c r="BR12" s="725"/>
      <c r="BS12" s="725"/>
      <c r="BT12" s="725"/>
      <c r="BU12" s="725"/>
      <c r="BV12" s="725"/>
      <c r="BW12" s="725"/>
      <c r="BX12" s="725"/>
      <c r="BY12" s="725"/>
      <c r="BZ12" s="725"/>
      <c r="CA12" s="725"/>
      <c r="CB12" s="725"/>
      <c r="CC12" s="725"/>
      <c r="CD12" s="725"/>
      <c r="CE12" s="725"/>
      <c r="CF12" s="725"/>
      <c r="CG12" s="725"/>
      <c r="CH12" s="725"/>
      <c r="CI12" s="725"/>
      <c r="CJ12" s="725"/>
      <c r="CK12" s="725"/>
      <c r="CL12" s="725"/>
      <c r="CM12" s="725"/>
      <c r="CN12" s="725"/>
      <c r="CO12" s="725"/>
      <c r="CP12" s="725"/>
      <c r="CQ12" s="725"/>
      <c r="CR12" s="725"/>
    </row>
    <row r="13" spans="1:96" ht="27.75" customHeight="1">
      <c r="A13" s="1029"/>
      <c r="B13" s="20" t="s">
        <v>80</v>
      </c>
      <c r="C13" s="68" t="s">
        <v>81</v>
      </c>
      <c r="D13" s="23" t="s">
        <v>82</v>
      </c>
      <c r="E13" s="68" t="s">
        <v>81</v>
      </c>
      <c r="F13" s="23" t="s">
        <v>82</v>
      </c>
      <c r="G13" s="68" t="s">
        <v>81</v>
      </c>
      <c r="H13" s="23" t="s">
        <v>82</v>
      </c>
      <c r="I13" s="68" t="s">
        <v>81</v>
      </c>
      <c r="J13" s="23" t="s">
        <v>82</v>
      </c>
      <c r="K13" s="68" t="s">
        <v>81</v>
      </c>
      <c r="L13" s="23" t="s">
        <v>82</v>
      </c>
      <c r="M13" s="68" t="s">
        <v>81</v>
      </c>
      <c r="N13" s="23" t="s">
        <v>82</v>
      </c>
      <c r="O13" s="68" t="s">
        <v>81</v>
      </c>
      <c r="P13" s="23" t="s">
        <v>82</v>
      </c>
      <c r="Q13" s="68" t="s">
        <v>81</v>
      </c>
      <c r="R13" s="23" t="s">
        <v>82</v>
      </c>
      <c r="S13" s="68" t="s">
        <v>81</v>
      </c>
      <c r="T13" s="23" t="s">
        <v>82</v>
      </c>
      <c r="U13" s="69" t="s">
        <v>81</v>
      </c>
      <c r="V13" s="21" t="s">
        <v>82</v>
      </c>
      <c r="W13" s="21" t="s">
        <v>83</v>
      </c>
    </row>
    <row r="14" spans="1:96" s="730" customFormat="1" ht="14.25" customHeight="1">
      <c r="A14" s="601" t="s">
        <v>84</v>
      </c>
      <c r="B14" s="20" t="s">
        <v>85</v>
      </c>
      <c r="C14" s="70" t="s">
        <v>86</v>
      </c>
      <c r="D14" s="70" t="s">
        <v>87</v>
      </c>
      <c r="E14" s="70" t="s">
        <v>88</v>
      </c>
      <c r="F14" s="70" t="s">
        <v>89</v>
      </c>
      <c r="G14" s="70" t="s">
        <v>90</v>
      </c>
      <c r="H14" s="70" t="s">
        <v>91</v>
      </c>
      <c r="I14" s="70" t="s">
        <v>92</v>
      </c>
      <c r="J14" s="70" t="s">
        <v>93</v>
      </c>
      <c r="K14" s="70" t="s">
        <v>94</v>
      </c>
      <c r="L14" s="70" t="s">
        <v>95</v>
      </c>
      <c r="M14" s="70" t="s">
        <v>96</v>
      </c>
      <c r="N14" s="70" t="s">
        <v>97</v>
      </c>
      <c r="O14" s="70" t="s">
        <v>98</v>
      </c>
      <c r="P14" s="70" t="s">
        <v>99</v>
      </c>
      <c r="Q14" s="70" t="s">
        <v>100</v>
      </c>
      <c r="R14" s="70" t="s">
        <v>101</v>
      </c>
      <c r="S14" s="70" t="s">
        <v>102</v>
      </c>
      <c r="T14" s="70" t="s">
        <v>103</v>
      </c>
      <c r="U14" s="71" t="s">
        <v>104</v>
      </c>
      <c r="V14" s="71" t="s">
        <v>105</v>
      </c>
      <c r="W14" s="71" t="s">
        <v>106</v>
      </c>
      <c r="X14" s="725"/>
      <c r="Y14" s="725"/>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5"/>
      <c r="AV14" s="725"/>
      <c r="AW14" s="725"/>
      <c r="AX14" s="725"/>
      <c r="AY14" s="725"/>
      <c r="AZ14" s="725"/>
      <c r="BA14" s="725"/>
      <c r="BB14" s="725"/>
      <c r="BC14" s="725"/>
      <c r="BD14" s="725"/>
      <c r="BE14" s="725"/>
      <c r="BF14" s="725"/>
      <c r="BG14" s="725"/>
      <c r="BH14" s="725"/>
      <c r="BI14" s="725"/>
      <c r="BJ14" s="725"/>
      <c r="BK14" s="725"/>
      <c r="BL14" s="725"/>
      <c r="BM14" s="725"/>
      <c r="BN14" s="725"/>
      <c r="BO14" s="725"/>
      <c r="BP14" s="725"/>
      <c r="BQ14" s="725"/>
      <c r="BR14" s="725"/>
      <c r="BS14" s="725"/>
      <c r="BT14" s="725"/>
      <c r="BU14" s="725"/>
      <c r="BV14" s="725"/>
      <c r="BW14" s="725"/>
      <c r="BX14" s="725"/>
      <c r="BY14" s="725"/>
      <c r="BZ14" s="725"/>
      <c r="CA14" s="725"/>
      <c r="CB14" s="725"/>
      <c r="CC14" s="725"/>
      <c r="CD14" s="725"/>
      <c r="CE14" s="725"/>
      <c r="CF14" s="725"/>
      <c r="CG14" s="725"/>
      <c r="CH14" s="725"/>
      <c r="CI14" s="725"/>
      <c r="CJ14" s="725"/>
      <c r="CK14" s="725"/>
      <c r="CL14" s="725"/>
      <c r="CM14" s="725"/>
      <c r="CN14" s="725"/>
      <c r="CO14" s="725"/>
      <c r="CP14" s="725"/>
      <c r="CQ14" s="725"/>
      <c r="CR14" s="725"/>
    </row>
    <row r="15" spans="1:96" s="730" customFormat="1" ht="25.5" customHeight="1">
      <c r="A15" s="987" t="s">
        <v>107</v>
      </c>
      <c r="B15" s="988"/>
      <c r="C15" s="988"/>
      <c r="D15" s="988"/>
      <c r="E15" s="988"/>
      <c r="F15" s="988"/>
      <c r="G15" s="988"/>
      <c r="H15" s="988"/>
      <c r="I15" s="988"/>
      <c r="J15" s="988"/>
      <c r="K15" s="988"/>
      <c r="L15" s="988"/>
      <c r="M15" s="988"/>
      <c r="N15" s="988"/>
      <c r="O15" s="988"/>
      <c r="P15" s="988"/>
      <c r="Q15" s="988"/>
      <c r="R15" s="988"/>
      <c r="S15" s="988"/>
      <c r="T15" s="988"/>
      <c r="U15" s="988"/>
      <c r="V15" s="988"/>
      <c r="W15" s="989"/>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25"/>
      <c r="AY15" s="725"/>
      <c r="AZ15" s="725"/>
      <c r="BA15" s="725"/>
      <c r="BB15" s="725"/>
      <c r="BC15" s="725"/>
      <c r="BD15" s="725"/>
      <c r="BE15" s="725"/>
      <c r="BF15" s="725"/>
      <c r="BG15" s="725"/>
      <c r="BH15" s="725"/>
      <c r="BI15" s="725"/>
      <c r="BJ15" s="725"/>
      <c r="BK15" s="725"/>
      <c r="BL15" s="725"/>
      <c r="BM15" s="725"/>
      <c r="BN15" s="725"/>
      <c r="BO15" s="725"/>
      <c r="BP15" s="725"/>
      <c r="BQ15" s="725"/>
      <c r="BR15" s="725"/>
      <c r="BS15" s="725"/>
      <c r="BT15" s="725"/>
      <c r="BU15" s="725"/>
      <c r="BV15" s="725"/>
      <c r="BW15" s="725"/>
      <c r="BX15" s="725"/>
      <c r="BY15" s="725"/>
      <c r="BZ15" s="725"/>
      <c r="CA15" s="725"/>
      <c r="CB15" s="725"/>
      <c r="CC15" s="725"/>
      <c r="CD15" s="725"/>
      <c r="CE15" s="725"/>
      <c r="CF15" s="725"/>
      <c r="CG15" s="725"/>
      <c r="CH15" s="725"/>
      <c r="CI15" s="725"/>
      <c r="CJ15" s="725"/>
      <c r="CK15" s="725"/>
      <c r="CL15" s="725"/>
      <c r="CM15" s="725"/>
      <c r="CN15" s="725"/>
      <c r="CO15" s="725"/>
      <c r="CP15" s="725"/>
      <c r="CQ15" s="725"/>
      <c r="CR15" s="725"/>
    </row>
    <row r="16" spans="1:96" ht="17.45">
      <c r="A16" s="548" t="s">
        <v>108</v>
      </c>
      <c r="B16" s="733"/>
      <c r="C16" s="734"/>
      <c r="D16" s="734"/>
      <c r="E16" s="734"/>
      <c r="F16" s="734"/>
      <c r="G16" s="734"/>
      <c r="H16" s="734"/>
      <c r="I16" s="734"/>
      <c r="J16" s="734"/>
      <c r="K16" s="734"/>
      <c r="L16" s="734"/>
      <c r="M16" s="734"/>
      <c r="N16" s="734"/>
      <c r="O16" s="734"/>
      <c r="P16" s="734"/>
      <c r="Q16" s="734"/>
      <c r="R16" s="734"/>
      <c r="S16" s="734"/>
      <c r="T16" s="734"/>
      <c r="U16" s="735"/>
      <c r="V16" s="735"/>
      <c r="W16" s="21"/>
    </row>
    <row r="17" spans="1:96" ht="13.15">
      <c r="A17" s="37" t="s">
        <v>133</v>
      </c>
      <c r="B17" s="736"/>
      <c r="C17" s="737"/>
      <c r="D17" s="737"/>
      <c r="E17" s="737"/>
      <c r="F17" s="737"/>
      <c r="G17" s="737"/>
      <c r="H17" s="737"/>
      <c r="I17" s="737"/>
      <c r="J17" s="737"/>
      <c r="K17" s="737"/>
      <c r="L17" s="737"/>
      <c r="M17" s="737"/>
      <c r="N17" s="737"/>
      <c r="O17" s="737"/>
      <c r="P17" s="737"/>
      <c r="Q17" s="737"/>
      <c r="R17" s="737"/>
      <c r="S17" s="737"/>
      <c r="T17" s="737"/>
      <c r="U17" s="738"/>
      <c r="V17" s="738"/>
      <c r="W17" s="739"/>
    </row>
    <row r="18" spans="1:96" s="730" customFormat="1" ht="14.1" customHeight="1">
      <c r="A18" s="823" t="s">
        <v>110</v>
      </c>
      <c r="B18" s="34" t="s">
        <v>111</v>
      </c>
      <c r="C18" s="750" t="str">
        <f>+IF('90'!C18&lt;0,$V$1,$W$1)</f>
        <v>ok</v>
      </c>
      <c r="D18" s="771" t="str">
        <f>+IF('90'!D18&lt;0,$V$1,$W$1)</f>
        <v>ok</v>
      </c>
      <c r="E18" s="772" t="str">
        <f>+IF('90'!E18&lt;0,$V$1,$W$1)</f>
        <v>ok</v>
      </c>
      <c r="F18" s="771" t="str">
        <f>+IF('90'!F18&lt;0,$V$1,$W$1)</f>
        <v>ok</v>
      </c>
      <c r="G18" s="772" t="str">
        <f>+IF('90'!G18&lt;0,$V$1,$W$1)</f>
        <v>ok</v>
      </c>
      <c r="H18" s="771" t="str">
        <f>+IF('90'!H18&lt;0,$V$1,$W$1)</f>
        <v>ok</v>
      </c>
      <c r="I18" s="772" t="str">
        <f>+IF('90'!I18&lt;0,$V$1,$W$1)</f>
        <v>ok</v>
      </c>
      <c r="J18" s="771" t="str">
        <f>+IF('90'!J18&lt;0,$V$1,$W$1)</f>
        <v>ok</v>
      </c>
      <c r="K18" s="772" t="str">
        <f>+IF('90'!K18&lt;0,$V$1,$W$1)</f>
        <v>ok</v>
      </c>
      <c r="L18" s="771" t="str">
        <f>+IF('90'!L18&lt;0,$V$1,$W$1)</f>
        <v>ok</v>
      </c>
      <c r="M18" s="772" t="str">
        <f>+IF('90'!M18&lt;0,$V$1,$W$1)</f>
        <v>ok</v>
      </c>
      <c r="N18" s="771" t="str">
        <f>+IF('90'!N18&lt;0,$V$1,$W$1)</f>
        <v>ok</v>
      </c>
      <c r="O18" s="772" t="str">
        <f>+IF('90'!O18&lt;0,$V$1,$W$1)</f>
        <v>ok</v>
      </c>
      <c r="P18" s="771" t="str">
        <f>+IF('90'!P18&lt;0,$V$1,$W$1)</f>
        <v>ok</v>
      </c>
      <c r="Q18" s="772" t="str">
        <f>+IF('90'!Q18&lt;0,$V$1,$W$1)</f>
        <v>ok</v>
      </c>
      <c r="R18" s="771" t="str">
        <f>+IF('90'!R18&lt;0,$V$1,$W$1)</f>
        <v>ok</v>
      </c>
      <c r="S18" s="772" t="str">
        <f>+IF('90'!S18&lt;0,$V$1,$W$1)</f>
        <v>ok</v>
      </c>
      <c r="T18" s="771" t="str">
        <f>+IF('90'!T18&lt;0,$V$1,$W$1)</f>
        <v>ok</v>
      </c>
      <c r="U18" s="751" t="str">
        <f>+IF('90'!U18&lt;0,$V$1,$W$1)</f>
        <v>ok</v>
      </c>
      <c r="V18" s="752" t="str">
        <f>+IF('90'!V18&lt;0,$V$1,$W$1)</f>
        <v>ok</v>
      </c>
      <c r="W18" s="753" t="str">
        <f>+IF('90'!W18&lt;0,$V$1,$W$1)</f>
        <v>ok</v>
      </c>
      <c r="X18" s="740"/>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5"/>
      <c r="BW18" s="725"/>
      <c r="BX18" s="725"/>
      <c r="BY18" s="725"/>
      <c r="BZ18" s="725"/>
      <c r="CA18" s="725"/>
      <c r="CB18" s="725"/>
      <c r="CC18" s="725"/>
      <c r="CD18" s="725"/>
      <c r="CE18" s="725"/>
      <c r="CF18" s="725"/>
      <c r="CG18" s="725"/>
      <c r="CH18" s="725"/>
      <c r="CI18" s="725"/>
      <c r="CJ18" s="725"/>
      <c r="CK18" s="725"/>
      <c r="CL18" s="725"/>
      <c r="CM18" s="725"/>
      <c r="CN18" s="725"/>
      <c r="CO18" s="725"/>
      <c r="CP18" s="725"/>
      <c r="CQ18" s="725"/>
      <c r="CR18" s="725"/>
    </row>
    <row r="19" spans="1:96" s="730" customFormat="1" ht="14.1" customHeight="1">
      <c r="A19" s="824" t="s">
        <v>112</v>
      </c>
      <c r="B19" s="22" t="s">
        <v>113</v>
      </c>
      <c r="C19" s="773" t="str">
        <f>+IF('90'!C19&lt;0,$V$1,$W$1)</f>
        <v>ok</v>
      </c>
      <c r="D19" s="774" t="str">
        <f>+IF('90'!D19&lt;0,$V$1,$W$1)</f>
        <v>ok</v>
      </c>
      <c r="E19" s="773" t="str">
        <f>+IF('90'!E19&lt;0,$V$1,$W$1)</f>
        <v>ok</v>
      </c>
      <c r="F19" s="774" t="str">
        <f>+IF('90'!F19&lt;0,$V$1,$W$1)</f>
        <v>ok</v>
      </c>
      <c r="G19" s="773" t="str">
        <f>+IF('90'!G19&lt;0,$V$1,$W$1)</f>
        <v>ok</v>
      </c>
      <c r="H19" s="774" t="str">
        <f>+IF('90'!H19&lt;0,$V$1,$W$1)</f>
        <v>ok</v>
      </c>
      <c r="I19" s="773" t="str">
        <f>+IF('90'!I19&lt;0,$V$1,$W$1)</f>
        <v>ok</v>
      </c>
      <c r="J19" s="774" t="str">
        <f>+IF('90'!J19&lt;0,$V$1,$W$1)</f>
        <v>ok</v>
      </c>
      <c r="K19" s="773" t="str">
        <f>+IF('90'!K19&lt;0,$V$1,$W$1)</f>
        <v>ok</v>
      </c>
      <c r="L19" s="774" t="str">
        <f>+IF('90'!L19&lt;0,$V$1,$W$1)</f>
        <v>ok</v>
      </c>
      <c r="M19" s="773" t="str">
        <f>+IF('90'!M19&lt;0,$V$1,$W$1)</f>
        <v>ok</v>
      </c>
      <c r="N19" s="774" t="str">
        <f>+IF('90'!N19&lt;0,$V$1,$W$1)</f>
        <v>ok</v>
      </c>
      <c r="O19" s="773" t="str">
        <f>+IF('90'!O19&lt;0,$V$1,$W$1)</f>
        <v>ok</v>
      </c>
      <c r="P19" s="774" t="str">
        <f>+IF('90'!P19&lt;0,$V$1,$W$1)</f>
        <v>ok</v>
      </c>
      <c r="Q19" s="773" t="str">
        <f>+IF('90'!Q19&lt;0,$V$1,$W$1)</f>
        <v>ok</v>
      </c>
      <c r="R19" s="774" t="str">
        <f>+IF('90'!R19&lt;0,$V$1,$W$1)</f>
        <v>ok</v>
      </c>
      <c r="S19" s="773" t="str">
        <f>+IF('90'!S19&lt;0,$V$1,$W$1)</f>
        <v>ok</v>
      </c>
      <c r="T19" s="774" t="str">
        <f>+IF('90'!T19&lt;0,$V$1,$W$1)</f>
        <v>ok</v>
      </c>
      <c r="U19" s="751" t="str">
        <f>+IF('90'!U19&lt;0,$V$1,$W$1)</f>
        <v>ok</v>
      </c>
      <c r="V19" s="752" t="str">
        <f>+IF('90'!V19&lt;0,$V$1,$W$1)</f>
        <v>ok</v>
      </c>
      <c r="W19" s="753" t="str">
        <f>+IF('90'!W19&lt;0,$V$1,$W$1)</f>
        <v>ok</v>
      </c>
      <c r="X19" s="740"/>
      <c r="Y19" s="725"/>
      <c r="Z19" s="725"/>
      <c r="AA19" s="725"/>
      <c r="AB19" s="725"/>
      <c r="AC19" s="725"/>
      <c r="AD19" s="725"/>
      <c r="AE19" s="725"/>
      <c r="AF19" s="725"/>
      <c r="AG19" s="725"/>
      <c r="AH19" s="725"/>
      <c r="AI19" s="725"/>
      <c r="AJ19" s="725"/>
      <c r="AK19" s="725"/>
      <c r="AL19" s="725"/>
      <c r="AM19" s="725"/>
      <c r="AN19" s="725"/>
      <c r="AO19" s="725"/>
      <c r="AP19" s="725"/>
      <c r="AQ19" s="725"/>
      <c r="AR19" s="725"/>
      <c r="AS19" s="725"/>
      <c r="AT19" s="725"/>
      <c r="AU19" s="725"/>
      <c r="AV19" s="725"/>
      <c r="AW19" s="725"/>
      <c r="AX19" s="725"/>
      <c r="AY19" s="725"/>
      <c r="AZ19" s="725"/>
      <c r="BA19" s="725"/>
      <c r="BB19" s="725"/>
      <c r="BC19" s="725"/>
      <c r="BD19" s="725"/>
      <c r="BE19" s="725"/>
      <c r="BF19" s="725"/>
      <c r="BG19" s="725"/>
      <c r="BH19" s="725"/>
      <c r="BI19" s="725"/>
      <c r="BJ19" s="725"/>
      <c r="BK19" s="725"/>
      <c r="BL19" s="725"/>
      <c r="BM19" s="725"/>
      <c r="BN19" s="725"/>
      <c r="BO19" s="725"/>
      <c r="BP19" s="725"/>
      <c r="BQ19" s="725"/>
      <c r="BR19" s="725"/>
      <c r="BS19" s="725"/>
      <c r="BT19" s="725"/>
      <c r="BU19" s="725"/>
      <c r="BV19" s="725"/>
      <c r="BW19" s="725"/>
      <c r="BX19" s="725"/>
      <c r="BY19" s="725"/>
      <c r="BZ19" s="725"/>
      <c r="CA19" s="725"/>
      <c r="CB19" s="725"/>
      <c r="CC19" s="725"/>
      <c r="CD19" s="725"/>
      <c r="CE19" s="725"/>
      <c r="CF19" s="725"/>
      <c r="CG19" s="725"/>
      <c r="CH19" s="725"/>
      <c r="CI19" s="725"/>
      <c r="CJ19" s="725"/>
      <c r="CK19" s="725"/>
      <c r="CL19" s="725"/>
      <c r="CM19" s="725"/>
      <c r="CN19" s="725"/>
      <c r="CO19" s="725"/>
      <c r="CP19" s="725"/>
      <c r="CQ19" s="725"/>
      <c r="CR19" s="725"/>
    </row>
    <row r="20" spans="1:96" s="730" customFormat="1" ht="14.1" customHeight="1">
      <c r="A20" s="1036" t="s">
        <v>114</v>
      </c>
      <c r="B20" s="973"/>
      <c r="C20" s="973"/>
      <c r="D20" s="973"/>
      <c r="E20" s="973"/>
      <c r="F20" s="973"/>
      <c r="G20" s="973"/>
      <c r="H20" s="973"/>
      <c r="I20" s="973"/>
      <c r="J20" s="973"/>
      <c r="K20" s="973"/>
      <c r="L20" s="973"/>
      <c r="M20" s="973"/>
      <c r="N20" s="973"/>
      <c r="O20" s="973"/>
      <c r="P20" s="973"/>
      <c r="Q20" s="973"/>
      <c r="R20" s="973"/>
      <c r="S20" s="973"/>
      <c r="T20" s="973"/>
      <c r="U20" s="973"/>
      <c r="V20" s="973"/>
      <c r="W20" s="1037"/>
      <c r="X20" s="740"/>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5"/>
      <c r="AV20" s="725"/>
      <c r="AW20" s="725"/>
      <c r="AX20" s="725"/>
      <c r="AY20" s="725"/>
      <c r="AZ20" s="725"/>
      <c r="BA20" s="725"/>
      <c r="BB20" s="725"/>
      <c r="BC20" s="725"/>
      <c r="BD20" s="725"/>
      <c r="BE20" s="725"/>
      <c r="BF20" s="725"/>
      <c r="BG20" s="725"/>
      <c r="BH20" s="725"/>
      <c r="BI20" s="725"/>
      <c r="BJ20" s="725"/>
      <c r="BK20" s="725"/>
      <c r="BL20" s="725"/>
      <c r="BM20" s="725"/>
      <c r="BN20" s="725"/>
      <c r="BO20" s="725"/>
      <c r="BP20" s="725"/>
      <c r="BQ20" s="725"/>
      <c r="BR20" s="725"/>
      <c r="BS20" s="725"/>
      <c r="BT20" s="725"/>
      <c r="BU20" s="725"/>
      <c r="BV20" s="725"/>
      <c r="BW20" s="725"/>
      <c r="BX20" s="725"/>
      <c r="BY20" s="725"/>
      <c r="BZ20" s="725"/>
      <c r="CA20" s="725"/>
      <c r="CB20" s="725"/>
      <c r="CC20" s="725"/>
      <c r="CD20" s="725"/>
      <c r="CE20" s="725"/>
      <c r="CF20" s="725"/>
      <c r="CG20" s="725"/>
      <c r="CH20" s="725"/>
      <c r="CI20" s="725"/>
      <c r="CJ20" s="725"/>
      <c r="CK20" s="725"/>
      <c r="CL20" s="725"/>
      <c r="CM20" s="725"/>
      <c r="CN20" s="725"/>
      <c r="CO20" s="725"/>
      <c r="CP20" s="725"/>
      <c r="CQ20" s="725"/>
      <c r="CR20" s="725"/>
    </row>
    <row r="21" spans="1:96" s="730" customFormat="1" ht="14.1" customHeight="1">
      <c r="A21" s="833" t="s">
        <v>115</v>
      </c>
      <c r="B21" s="22" t="s">
        <v>116</v>
      </c>
      <c r="C21" s="773" t="str">
        <f>+IF('90'!C21&lt;0,$V$1,$W$1)</f>
        <v>ok</v>
      </c>
      <c r="D21" s="774" t="str">
        <f>+IF('90'!D21&lt;0,$V$1,$W$1)</f>
        <v>ok</v>
      </c>
      <c r="E21" s="773" t="str">
        <f>+IF('90'!E21&lt;0,$V$1,$W$1)</f>
        <v>ok</v>
      </c>
      <c r="F21" s="774" t="str">
        <f>+IF('90'!F21&lt;0,$V$1,$W$1)</f>
        <v>ok</v>
      </c>
      <c r="G21" s="773" t="str">
        <f>+IF('90'!G21&lt;0,$V$1,$W$1)</f>
        <v>ok</v>
      </c>
      <c r="H21" s="774" t="str">
        <f>+IF('90'!H21&lt;0,$V$1,$W$1)</f>
        <v>ok</v>
      </c>
      <c r="I21" s="773" t="str">
        <f>+IF('90'!I21&lt;0,$V$1,$W$1)</f>
        <v>ok</v>
      </c>
      <c r="J21" s="774" t="str">
        <f>+IF('90'!J21&lt;0,$V$1,$W$1)</f>
        <v>ok</v>
      </c>
      <c r="K21" s="773" t="str">
        <f>+IF('90'!K21&lt;0,$V$1,$W$1)</f>
        <v>ok</v>
      </c>
      <c r="L21" s="774" t="str">
        <f>+IF('90'!L21&lt;0,$V$1,$W$1)</f>
        <v>ok</v>
      </c>
      <c r="M21" s="773" t="str">
        <f>+IF('90'!M21&lt;0,$V$1,$W$1)</f>
        <v>ok</v>
      </c>
      <c r="N21" s="774" t="str">
        <f>+IF('90'!N21&lt;0,$V$1,$W$1)</f>
        <v>ok</v>
      </c>
      <c r="O21" s="773" t="str">
        <f>+IF('90'!O21&lt;0,$V$1,$W$1)</f>
        <v>ok</v>
      </c>
      <c r="P21" s="774" t="str">
        <f>+IF('90'!P21&lt;0,$V$1,$W$1)</f>
        <v>ok</v>
      </c>
      <c r="Q21" s="773" t="str">
        <f>+IF('90'!Q21&lt;0,$V$1,$W$1)</f>
        <v>ok</v>
      </c>
      <c r="R21" s="774" t="str">
        <f>+IF('90'!R21&lt;0,$V$1,$W$1)</f>
        <v>ok</v>
      </c>
      <c r="S21" s="773" t="str">
        <f>+IF('90'!S21&lt;0,$V$1,$W$1)</f>
        <v>ok</v>
      </c>
      <c r="T21" s="774" t="str">
        <f>+IF('90'!T21&lt;0,$V$1,$W$1)</f>
        <v>ok</v>
      </c>
      <c r="U21" s="751" t="str">
        <f>+IF('90'!U21&lt;0,$V$1,$W$1)</f>
        <v>ok</v>
      </c>
      <c r="V21" s="751" t="str">
        <f>+IF('90'!V21&lt;0,$V$1,$W$1)</f>
        <v>ok</v>
      </c>
      <c r="W21" s="754" t="str">
        <f>+IF('90'!W21&lt;0,$V$1,$W$1)</f>
        <v>ok</v>
      </c>
      <c r="X21" s="740"/>
      <c r="Y21" s="725"/>
      <c r="Z21" s="725"/>
      <c r="AA21" s="725"/>
      <c r="AB21" s="725"/>
      <c r="AC21" s="725"/>
      <c r="AD21" s="725"/>
      <c r="AE21" s="725"/>
      <c r="AF21" s="725"/>
      <c r="AG21" s="725"/>
      <c r="AH21" s="725"/>
      <c r="AI21" s="725"/>
      <c r="AJ21" s="725"/>
      <c r="AK21" s="725"/>
      <c r="AL21" s="725"/>
      <c r="AM21" s="725"/>
      <c r="AN21" s="725"/>
      <c r="AO21" s="725"/>
      <c r="AP21" s="725"/>
      <c r="AQ21" s="725"/>
      <c r="AR21" s="725"/>
      <c r="AS21" s="725"/>
      <c r="AT21" s="725"/>
      <c r="AU21" s="725"/>
      <c r="AV21" s="725"/>
      <c r="AW21" s="725"/>
      <c r="AX21" s="725"/>
      <c r="AY21" s="725"/>
      <c r="AZ21" s="725"/>
      <c r="BA21" s="725"/>
      <c r="BB21" s="725"/>
      <c r="BC21" s="725"/>
      <c r="BD21" s="725"/>
      <c r="BE21" s="725"/>
      <c r="BF21" s="725"/>
      <c r="BG21" s="725"/>
      <c r="BH21" s="725"/>
      <c r="BI21" s="725"/>
      <c r="BJ21" s="725"/>
      <c r="BK21" s="725"/>
      <c r="BL21" s="725"/>
      <c r="BM21" s="725"/>
      <c r="BN21" s="725"/>
      <c r="BO21" s="725"/>
      <c r="BP21" s="725"/>
      <c r="BQ21" s="725"/>
      <c r="BR21" s="725"/>
      <c r="BS21" s="725"/>
      <c r="BT21" s="725"/>
      <c r="BU21" s="725"/>
      <c r="BV21" s="725"/>
      <c r="BW21" s="725"/>
      <c r="BX21" s="725"/>
      <c r="BY21" s="725"/>
      <c r="BZ21" s="725"/>
      <c r="CA21" s="725"/>
      <c r="CB21" s="725"/>
      <c r="CC21" s="725"/>
      <c r="CD21" s="725"/>
      <c r="CE21" s="725"/>
      <c r="CF21" s="725"/>
      <c r="CG21" s="725"/>
      <c r="CH21" s="725"/>
      <c r="CI21" s="725"/>
      <c r="CJ21" s="725"/>
      <c r="CK21" s="725"/>
      <c r="CL21" s="725"/>
      <c r="CM21" s="725"/>
      <c r="CN21" s="725"/>
      <c r="CO21" s="725"/>
      <c r="CP21" s="725"/>
      <c r="CQ21" s="725"/>
      <c r="CR21" s="725"/>
    </row>
    <row r="22" spans="1:96" s="730" customFormat="1" ht="14.1" customHeight="1">
      <c r="A22" s="825" t="s">
        <v>117</v>
      </c>
      <c r="B22" s="22" t="s">
        <v>118</v>
      </c>
      <c r="C22" s="773" t="str">
        <f>+IF('90'!C22&lt;0,$V$1,$W$1)</f>
        <v>ok</v>
      </c>
      <c r="D22" s="774" t="str">
        <f>+IF('90'!D22&lt;0,$V$1,$W$1)</f>
        <v>ok</v>
      </c>
      <c r="E22" s="773" t="str">
        <f>+IF('90'!E22&lt;0,$V$1,$W$1)</f>
        <v>ok</v>
      </c>
      <c r="F22" s="774" t="str">
        <f>+IF('90'!F22&lt;0,$V$1,$W$1)</f>
        <v>ok</v>
      </c>
      <c r="G22" s="773" t="str">
        <f>+IF('90'!G22&lt;0,$V$1,$W$1)</f>
        <v>ok</v>
      </c>
      <c r="H22" s="774" t="str">
        <f>+IF('90'!H22&lt;0,$V$1,$W$1)</f>
        <v>ok</v>
      </c>
      <c r="I22" s="773" t="str">
        <f>+IF('90'!I22&lt;0,$V$1,$W$1)</f>
        <v>ok</v>
      </c>
      <c r="J22" s="774" t="str">
        <f>+IF('90'!J22&lt;0,$V$1,$W$1)</f>
        <v>ok</v>
      </c>
      <c r="K22" s="773" t="str">
        <f>+IF('90'!K22&lt;0,$V$1,$W$1)</f>
        <v>ok</v>
      </c>
      <c r="L22" s="774" t="str">
        <f>+IF('90'!L22&lt;0,$V$1,$W$1)</f>
        <v>ok</v>
      </c>
      <c r="M22" s="773" t="str">
        <f>+IF('90'!M22&lt;0,$V$1,$W$1)</f>
        <v>ok</v>
      </c>
      <c r="N22" s="774" t="str">
        <f>+IF('90'!N22&lt;0,$V$1,$W$1)</f>
        <v>ok</v>
      </c>
      <c r="O22" s="773" t="str">
        <f>+IF('90'!O22&lt;0,$V$1,$W$1)</f>
        <v>ok</v>
      </c>
      <c r="P22" s="774" t="str">
        <f>+IF('90'!P22&lt;0,$V$1,$W$1)</f>
        <v>ok</v>
      </c>
      <c r="Q22" s="773" t="str">
        <f>+IF('90'!Q22&lt;0,$V$1,$W$1)</f>
        <v>ok</v>
      </c>
      <c r="R22" s="774" t="str">
        <f>+IF('90'!R22&lt;0,$V$1,$W$1)</f>
        <v>ok</v>
      </c>
      <c r="S22" s="773" t="str">
        <f>+IF('90'!S22&lt;0,$V$1,$W$1)</f>
        <v>ok</v>
      </c>
      <c r="T22" s="774" t="str">
        <f>+IF('90'!T22&lt;0,$V$1,$W$1)</f>
        <v>ok</v>
      </c>
      <c r="U22" s="751" t="str">
        <f>+IF('90'!U22&lt;0,$V$1,$W$1)</f>
        <v>ok</v>
      </c>
      <c r="V22" s="752" t="str">
        <f>+IF('90'!V22&lt;0,$V$1,$W$1)</f>
        <v>ok</v>
      </c>
      <c r="W22" s="753" t="str">
        <f>+IF('90'!W22&lt;0,$V$1,$W$1)</f>
        <v>ok</v>
      </c>
      <c r="X22" s="740"/>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25"/>
      <c r="AY22" s="725"/>
      <c r="AZ22" s="725"/>
      <c r="BA22" s="725"/>
      <c r="BB22" s="725"/>
      <c r="BC22" s="725"/>
      <c r="BD22" s="725"/>
      <c r="BE22" s="725"/>
      <c r="BF22" s="725"/>
      <c r="BG22" s="725"/>
      <c r="BH22" s="725"/>
      <c r="BI22" s="725"/>
      <c r="BJ22" s="725"/>
      <c r="BK22" s="725"/>
      <c r="BL22" s="725"/>
      <c r="BM22" s="725"/>
      <c r="BN22" s="725"/>
      <c r="BO22" s="725"/>
      <c r="BP22" s="725"/>
      <c r="BQ22" s="725"/>
      <c r="BR22" s="725"/>
      <c r="BS22" s="725"/>
      <c r="BT22" s="725"/>
      <c r="BU22" s="725"/>
      <c r="BV22" s="725"/>
      <c r="BW22" s="725"/>
      <c r="BX22" s="725"/>
      <c r="BY22" s="725"/>
      <c r="BZ22" s="725"/>
      <c r="CA22" s="725"/>
      <c r="CB22" s="725"/>
      <c r="CC22" s="725"/>
      <c r="CD22" s="725"/>
      <c r="CE22" s="725"/>
      <c r="CF22" s="725"/>
      <c r="CG22" s="725"/>
      <c r="CH22" s="725"/>
      <c r="CI22" s="725"/>
      <c r="CJ22" s="725"/>
      <c r="CK22" s="725"/>
      <c r="CL22" s="725"/>
      <c r="CM22" s="725"/>
      <c r="CN22" s="725"/>
      <c r="CO22" s="725"/>
      <c r="CP22" s="725"/>
      <c r="CQ22" s="725"/>
      <c r="CR22" s="725"/>
    </row>
    <row r="23" spans="1:96" s="730" customFormat="1" ht="14.1" customHeight="1">
      <c r="A23" s="825" t="s">
        <v>119</v>
      </c>
      <c r="B23" s="22" t="s">
        <v>120</v>
      </c>
      <c r="C23" s="773" t="str">
        <f>+IF('90'!C23&lt;0,$V$1,$W$1)</f>
        <v>ok</v>
      </c>
      <c r="D23" s="774" t="str">
        <f>+IF('90'!D23&lt;0,$V$1,$W$1)</f>
        <v>ok</v>
      </c>
      <c r="E23" s="773" t="str">
        <f>+IF('90'!E23&lt;0,$V$1,$W$1)</f>
        <v>ok</v>
      </c>
      <c r="F23" s="774" t="str">
        <f>+IF('90'!F23&lt;0,$V$1,$W$1)</f>
        <v>ok</v>
      </c>
      <c r="G23" s="773" t="str">
        <f>+IF('90'!G23&lt;0,$V$1,$W$1)</f>
        <v>ok</v>
      </c>
      <c r="H23" s="774" t="str">
        <f>+IF('90'!H23&lt;0,$V$1,$W$1)</f>
        <v>ok</v>
      </c>
      <c r="I23" s="773" t="str">
        <f>+IF('90'!I23&lt;0,$V$1,$W$1)</f>
        <v>ok</v>
      </c>
      <c r="J23" s="774" t="str">
        <f>+IF('90'!J23&lt;0,$V$1,$W$1)</f>
        <v>ok</v>
      </c>
      <c r="K23" s="773" t="str">
        <f>+IF('90'!K23&lt;0,$V$1,$W$1)</f>
        <v>ok</v>
      </c>
      <c r="L23" s="774" t="str">
        <f>+IF('90'!L23&lt;0,$V$1,$W$1)</f>
        <v>ok</v>
      </c>
      <c r="M23" s="773" t="str">
        <f>+IF('90'!M23&lt;0,$V$1,$W$1)</f>
        <v>ok</v>
      </c>
      <c r="N23" s="774" t="str">
        <f>+IF('90'!N23&lt;0,$V$1,$W$1)</f>
        <v>ok</v>
      </c>
      <c r="O23" s="773" t="str">
        <f>+IF('90'!O23&lt;0,$V$1,$W$1)</f>
        <v>ok</v>
      </c>
      <c r="P23" s="774" t="str">
        <f>+IF('90'!P23&lt;0,$V$1,$W$1)</f>
        <v>ok</v>
      </c>
      <c r="Q23" s="773" t="str">
        <f>+IF('90'!Q23&lt;0,$V$1,$W$1)</f>
        <v>ok</v>
      </c>
      <c r="R23" s="774" t="str">
        <f>+IF('90'!R23&lt;0,$V$1,$W$1)</f>
        <v>ok</v>
      </c>
      <c r="S23" s="773" t="str">
        <f>+IF('90'!S23&lt;0,$V$1,$W$1)</f>
        <v>ok</v>
      </c>
      <c r="T23" s="774" t="str">
        <f>+IF('90'!T23&lt;0,$V$1,$W$1)</f>
        <v>ok</v>
      </c>
      <c r="U23" s="751" t="str">
        <f>+IF('90'!U23&lt;0,$V$1,$W$1)</f>
        <v>ok</v>
      </c>
      <c r="V23" s="752" t="str">
        <f>+IF('90'!V23&lt;0,$V$1,$W$1)</f>
        <v>ok</v>
      </c>
      <c r="W23" s="753" t="str">
        <f>+IF('90'!W23&lt;0,$V$1,$W$1)</f>
        <v>ok</v>
      </c>
      <c r="X23" s="740"/>
      <c r="Y23" s="725"/>
      <c r="Z23" s="725"/>
      <c r="AA23" s="725"/>
      <c r="AB23" s="725"/>
      <c r="AC23" s="725"/>
      <c r="AD23" s="725"/>
      <c r="AE23" s="725"/>
      <c r="AF23" s="725"/>
      <c r="AG23" s="725"/>
      <c r="AH23" s="725"/>
      <c r="AI23" s="725"/>
      <c r="AJ23" s="725"/>
      <c r="AK23" s="725"/>
      <c r="AL23" s="725"/>
      <c r="AM23" s="725"/>
      <c r="AN23" s="725"/>
      <c r="AO23" s="725"/>
      <c r="AP23" s="725"/>
      <c r="AQ23" s="725"/>
      <c r="AR23" s="725"/>
      <c r="AS23" s="725"/>
      <c r="AT23" s="725"/>
      <c r="AU23" s="725"/>
      <c r="AV23" s="725"/>
      <c r="AW23" s="725"/>
      <c r="AX23" s="725"/>
      <c r="AY23" s="725"/>
      <c r="AZ23" s="725"/>
      <c r="BA23" s="725"/>
      <c r="BB23" s="725"/>
      <c r="BC23" s="725"/>
      <c r="BD23" s="725"/>
      <c r="BE23" s="725"/>
      <c r="BF23" s="725"/>
      <c r="BG23" s="725"/>
      <c r="BH23" s="725"/>
      <c r="BI23" s="725"/>
      <c r="BJ23" s="725"/>
      <c r="BK23" s="725"/>
      <c r="BL23" s="725"/>
      <c r="BM23" s="725"/>
      <c r="BN23" s="725"/>
      <c r="BO23" s="725"/>
      <c r="BP23" s="725"/>
      <c r="BQ23" s="725"/>
      <c r="BR23" s="725"/>
      <c r="BS23" s="725"/>
      <c r="BT23" s="725"/>
      <c r="BU23" s="725"/>
      <c r="BV23" s="725"/>
      <c r="BW23" s="725"/>
      <c r="BX23" s="725"/>
      <c r="BY23" s="725"/>
      <c r="BZ23" s="725"/>
      <c r="CA23" s="725"/>
      <c r="CB23" s="725"/>
      <c r="CC23" s="725"/>
      <c r="CD23" s="725"/>
      <c r="CE23" s="725"/>
      <c r="CF23" s="725"/>
      <c r="CG23" s="725"/>
      <c r="CH23" s="725"/>
      <c r="CI23" s="725"/>
      <c r="CJ23" s="725"/>
      <c r="CK23" s="725"/>
      <c r="CL23" s="725"/>
      <c r="CM23" s="725"/>
      <c r="CN23" s="725"/>
      <c r="CO23" s="725"/>
      <c r="CP23" s="725"/>
      <c r="CQ23" s="725"/>
      <c r="CR23" s="725"/>
    </row>
    <row r="24" spans="1:96" s="730" customFormat="1" ht="14.1" customHeight="1">
      <c r="A24" s="825" t="s">
        <v>121</v>
      </c>
      <c r="B24" s="22" t="s">
        <v>122</v>
      </c>
      <c r="C24" s="773" t="str">
        <f>+IF('90'!C24&lt;0,$V$1,$W$1)</f>
        <v>ok</v>
      </c>
      <c r="D24" s="774" t="str">
        <f>+IF('90'!D24&lt;0,$V$1,$W$1)</f>
        <v>ok</v>
      </c>
      <c r="E24" s="773" t="str">
        <f>+IF('90'!E24&lt;0,$V$1,$W$1)</f>
        <v>ok</v>
      </c>
      <c r="F24" s="774" t="str">
        <f>+IF('90'!F24&lt;0,$V$1,$W$1)</f>
        <v>ok</v>
      </c>
      <c r="G24" s="773" t="str">
        <f>+IF('90'!G24&lt;0,$V$1,$W$1)</f>
        <v>ok</v>
      </c>
      <c r="H24" s="774" t="str">
        <f>+IF('90'!H24&lt;0,$V$1,$W$1)</f>
        <v>ok</v>
      </c>
      <c r="I24" s="773" t="str">
        <f>+IF('90'!I24&lt;0,$V$1,$W$1)</f>
        <v>ok</v>
      </c>
      <c r="J24" s="774" t="str">
        <f>+IF('90'!J24&lt;0,$V$1,$W$1)</f>
        <v>ok</v>
      </c>
      <c r="K24" s="773" t="str">
        <f>+IF('90'!K24&lt;0,$V$1,$W$1)</f>
        <v>ok</v>
      </c>
      <c r="L24" s="774" t="str">
        <f>+IF('90'!L24&lt;0,$V$1,$W$1)</f>
        <v>ok</v>
      </c>
      <c r="M24" s="773" t="str">
        <f>+IF('90'!M24&lt;0,$V$1,$W$1)</f>
        <v>ok</v>
      </c>
      <c r="N24" s="774" t="str">
        <f>+IF('90'!N24&lt;0,$V$1,$W$1)</f>
        <v>ok</v>
      </c>
      <c r="O24" s="773" t="str">
        <f>+IF('90'!O24&lt;0,$V$1,$W$1)</f>
        <v>ok</v>
      </c>
      <c r="P24" s="774" t="str">
        <f>+IF('90'!P24&lt;0,$V$1,$W$1)</f>
        <v>ok</v>
      </c>
      <c r="Q24" s="773" t="str">
        <f>+IF('90'!Q24&lt;0,$V$1,$W$1)</f>
        <v>ok</v>
      </c>
      <c r="R24" s="774" t="str">
        <f>+IF('90'!R24&lt;0,$V$1,$W$1)</f>
        <v>ok</v>
      </c>
      <c r="S24" s="773" t="str">
        <f>+IF('90'!S24&lt;0,$V$1,$W$1)</f>
        <v>ok</v>
      </c>
      <c r="T24" s="774" t="str">
        <f>+IF('90'!T24&lt;0,$V$1,$W$1)</f>
        <v>ok</v>
      </c>
      <c r="U24" s="751" t="str">
        <f>+IF('90'!U24&lt;0,$V$1,$W$1)</f>
        <v>ok</v>
      </c>
      <c r="V24" s="752" t="str">
        <f>+IF('90'!V24&lt;0,$V$1,$W$1)</f>
        <v>ok</v>
      </c>
      <c r="W24" s="753" t="str">
        <f>+IF('90'!W24&lt;0,$V$1,$W$1)</f>
        <v>ok</v>
      </c>
      <c r="X24" s="740"/>
      <c r="Y24" s="725"/>
      <c r="Z24" s="725"/>
      <c r="AA24" s="725"/>
      <c r="AB24" s="725"/>
      <c r="AC24" s="725"/>
      <c r="AD24" s="725"/>
      <c r="AE24" s="725"/>
      <c r="AF24" s="725"/>
      <c r="AG24" s="725"/>
      <c r="AH24" s="725"/>
      <c r="AI24" s="725"/>
      <c r="AJ24" s="725"/>
      <c r="AK24" s="725"/>
      <c r="AL24" s="725"/>
      <c r="AM24" s="725"/>
      <c r="AN24" s="725"/>
      <c r="AO24" s="725"/>
      <c r="AP24" s="725"/>
      <c r="AQ24" s="725"/>
      <c r="AR24" s="725"/>
      <c r="AS24" s="725"/>
      <c r="AT24" s="725"/>
      <c r="AU24" s="725"/>
      <c r="AV24" s="725"/>
      <c r="AW24" s="725"/>
      <c r="AX24" s="725"/>
      <c r="AY24" s="725"/>
      <c r="AZ24" s="725"/>
      <c r="BA24" s="725"/>
      <c r="BB24" s="725"/>
      <c r="BC24" s="725"/>
      <c r="BD24" s="725"/>
      <c r="BE24" s="725"/>
      <c r="BF24" s="725"/>
      <c r="BG24" s="725"/>
      <c r="BH24" s="725"/>
      <c r="BI24" s="725"/>
      <c r="BJ24" s="725"/>
      <c r="BK24" s="725"/>
      <c r="BL24" s="725"/>
      <c r="BM24" s="725"/>
      <c r="BN24" s="725"/>
      <c r="BO24" s="725"/>
      <c r="BP24" s="725"/>
      <c r="BQ24" s="725"/>
      <c r="BR24" s="725"/>
      <c r="BS24" s="725"/>
      <c r="BT24" s="725"/>
      <c r="BU24" s="725"/>
      <c r="BV24" s="725"/>
      <c r="BW24" s="725"/>
      <c r="BX24" s="725"/>
      <c r="BY24" s="725"/>
      <c r="BZ24" s="725"/>
      <c r="CA24" s="725"/>
      <c r="CB24" s="725"/>
      <c r="CC24" s="725"/>
      <c r="CD24" s="725"/>
      <c r="CE24" s="725"/>
      <c r="CF24" s="725"/>
      <c r="CG24" s="725"/>
      <c r="CH24" s="725"/>
      <c r="CI24" s="725"/>
      <c r="CJ24" s="725"/>
      <c r="CK24" s="725"/>
      <c r="CL24" s="725"/>
      <c r="CM24" s="725"/>
      <c r="CN24" s="725"/>
      <c r="CO24" s="725"/>
      <c r="CP24" s="725"/>
      <c r="CQ24" s="725"/>
      <c r="CR24" s="725"/>
    </row>
    <row r="25" spans="1:96" s="730" customFormat="1" ht="26.25" customHeight="1">
      <c r="A25" s="547" t="s">
        <v>123</v>
      </c>
      <c r="B25" s="22" t="s">
        <v>124</v>
      </c>
      <c r="C25" s="773" t="str">
        <f>+IF('90'!C25&lt;0,$V$1,$W$1)</f>
        <v>ok</v>
      </c>
      <c r="D25" s="774" t="str">
        <f>+IF('90'!D25&lt;0,$V$1,$W$1)</f>
        <v>ok</v>
      </c>
      <c r="E25" s="773" t="str">
        <f>+IF('90'!E25&lt;0,$V$1,$W$1)</f>
        <v>ok</v>
      </c>
      <c r="F25" s="774" t="str">
        <f>+IF('90'!F25&lt;0,$V$1,$W$1)</f>
        <v>ok</v>
      </c>
      <c r="G25" s="773" t="str">
        <f>+IF('90'!G25&lt;0,$V$1,$W$1)</f>
        <v>ok</v>
      </c>
      <c r="H25" s="774" t="str">
        <f>+IF('90'!H25&lt;0,$V$1,$W$1)</f>
        <v>ok</v>
      </c>
      <c r="I25" s="773" t="str">
        <f>+IF('90'!I25&lt;0,$V$1,$W$1)</f>
        <v>ok</v>
      </c>
      <c r="J25" s="774" t="str">
        <f>+IF('90'!J25&lt;0,$V$1,$W$1)</f>
        <v>ok</v>
      </c>
      <c r="K25" s="773" t="str">
        <f>+IF('90'!K25&lt;0,$V$1,$W$1)</f>
        <v>ok</v>
      </c>
      <c r="L25" s="774" t="str">
        <f>+IF('90'!L25&lt;0,$V$1,$W$1)</f>
        <v>ok</v>
      </c>
      <c r="M25" s="773" t="str">
        <f>+IF('90'!M25&lt;0,$V$1,$W$1)</f>
        <v>ok</v>
      </c>
      <c r="N25" s="774" t="str">
        <f>+IF('90'!N25&lt;0,$V$1,$W$1)</f>
        <v>ok</v>
      </c>
      <c r="O25" s="773" t="str">
        <f>+IF('90'!O25&lt;0,$V$1,$W$1)</f>
        <v>ok</v>
      </c>
      <c r="P25" s="774" t="str">
        <f>+IF('90'!P25&lt;0,$V$1,$W$1)</f>
        <v>ok</v>
      </c>
      <c r="Q25" s="773" t="str">
        <f>+IF('90'!Q25&lt;0,$V$1,$W$1)</f>
        <v>ok</v>
      </c>
      <c r="R25" s="774" t="str">
        <f>+IF('90'!R25&lt;0,$V$1,$W$1)</f>
        <v>ok</v>
      </c>
      <c r="S25" s="773" t="str">
        <f>+IF('90'!S25&lt;0,$V$1,$W$1)</f>
        <v>ok</v>
      </c>
      <c r="T25" s="774" t="str">
        <f>+IF('90'!T25&lt;0,$V$1,$W$1)</f>
        <v>ok</v>
      </c>
      <c r="U25" s="751" t="str">
        <f>+IF('90'!U25&lt;0,$V$1,$W$1)</f>
        <v>ok</v>
      </c>
      <c r="V25" s="754" t="str">
        <f>+IF('90'!V25&lt;0,$V$1,$W$1)</f>
        <v>ok</v>
      </c>
      <c r="W25" s="754" t="str">
        <f>+IF('90'!W25&lt;0,$V$1,$W$1)</f>
        <v>ok</v>
      </c>
      <c r="X25" s="740"/>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725"/>
      <c r="BK25" s="725"/>
      <c r="BL25" s="725"/>
      <c r="BM25" s="725"/>
      <c r="BN25" s="725"/>
      <c r="BO25" s="725"/>
      <c r="BP25" s="725"/>
      <c r="BQ25" s="725"/>
      <c r="BR25" s="725"/>
      <c r="BS25" s="725"/>
      <c r="BT25" s="725"/>
      <c r="BU25" s="725"/>
      <c r="BV25" s="725"/>
      <c r="BW25" s="725"/>
      <c r="BX25" s="725"/>
      <c r="BY25" s="725"/>
      <c r="BZ25" s="725"/>
      <c r="CA25" s="725"/>
      <c r="CB25" s="725"/>
      <c r="CC25" s="725"/>
      <c r="CD25" s="725"/>
      <c r="CE25" s="725"/>
      <c r="CF25" s="725"/>
      <c r="CG25" s="725"/>
      <c r="CH25" s="725"/>
      <c r="CI25" s="725"/>
      <c r="CJ25" s="725"/>
      <c r="CK25" s="725"/>
      <c r="CL25" s="725"/>
      <c r="CM25" s="725"/>
      <c r="CN25" s="725"/>
      <c r="CO25" s="725"/>
      <c r="CP25" s="725"/>
      <c r="CQ25" s="725"/>
      <c r="CR25" s="725"/>
    </row>
    <row r="26" spans="1:96" s="742" customFormat="1" ht="27" thickBot="1">
      <c r="A26" s="550" t="s">
        <v>125</v>
      </c>
      <c r="B26" s="551" t="s">
        <v>126</v>
      </c>
      <c r="C26" s="755" t="str">
        <f>+IF('90'!C26&lt;0,$V$1,$W$1)</f>
        <v>ok</v>
      </c>
      <c r="D26" s="755" t="str">
        <f>+IF('90'!D26&lt;0,$V$1,$W$1)</f>
        <v>ok</v>
      </c>
      <c r="E26" s="755" t="str">
        <f>+IF('90'!E26&lt;0,$V$1,$W$1)</f>
        <v>ok</v>
      </c>
      <c r="F26" s="755" t="str">
        <f>+IF('90'!F26&lt;0,$V$1,$W$1)</f>
        <v>ok</v>
      </c>
      <c r="G26" s="755" t="str">
        <f>+IF('90'!G26&lt;0,$V$1,$W$1)</f>
        <v>ok</v>
      </c>
      <c r="H26" s="755" t="str">
        <f>+IF('90'!H26&lt;0,$V$1,$W$1)</f>
        <v>ok</v>
      </c>
      <c r="I26" s="755" t="str">
        <f>+IF('90'!I26&lt;0,$V$1,$W$1)</f>
        <v>ok</v>
      </c>
      <c r="J26" s="755" t="str">
        <f>+IF('90'!J26&lt;0,$V$1,$W$1)</f>
        <v>ok</v>
      </c>
      <c r="K26" s="755" t="str">
        <f>+IF('90'!K26&lt;0,$V$1,$W$1)</f>
        <v>ok</v>
      </c>
      <c r="L26" s="755" t="str">
        <f>+IF('90'!L26&lt;0,$V$1,$W$1)</f>
        <v>ok</v>
      </c>
      <c r="M26" s="755" t="str">
        <f>+IF('90'!M26&lt;0,$V$1,$W$1)</f>
        <v>ok</v>
      </c>
      <c r="N26" s="755" t="str">
        <f>+IF('90'!N26&lt;0,$V$1,$W$1)</f>
        <v>ok</v>
      </c>
      <c r="O26" s="755" t="str">
        <f>+IF('90'!O26&lt;0,$V$1,$W$1)</f>
        <v>ok</v>
      </c>
      <c r="P26" s="755" t="str">
        <f>+IF('90'!P26&lt;0,$V$1,$W$1)</f>
        <v>ok</v>
      </c>
      <c r="Q26" s="755" t="str">
        <f>+IF('90'!Q26&lt;0,$V$1,$W$1)</f>
        <v>ok</v>
      </c>
      <c r="R26" s="755" t="str">
        <f>+IF('90'!R26&lt;0,$V$1,$W$1)</f>
        <v>ok</v>
      </c>
      <c r="S26" s="755" t="str">
        <f>+IF('90'!S26&lt;0,$V$1,$W$1)</f>
        <v>ok</v>
      </c>
      <c r="T26" s="755" t="str">
        <f>+IF('90'!T26&lt;0,$V$1,$W$1)</f>
        <v>ok</v>
      </c>
      <c r="U26" s="755" t="str">
        <f>+IF('90'!U26&lt;0,$V$1,$W$1)</f>
        <v>ok</v>
      </c>
      <c r="V26" s="755" t="str">
        <f>+IF('90'!V26&lt;0,$V$1,$W$1)</f>
        <v>ok</v>
      </c>
      <c r="W26" s="756" t="str">
        <f>+IF('90'!W26&lt;0,$V$1,$W$1)</f>
        <v>ok</v>
      </c>
      <c r="X26" s="741"/>
      <c r="Y26" s="726"/>
      <c r="Z26" s="726"/>
      <c r="AA26" s="726"/>
      <c r="AB26" s="726"/>
      <c r="AC26" s="726"/>
      <c r="AD26" s="726"/>
      <c r="AE26" s="726"/>
      <c r="AF26" s="726"/>
      <c r="AG26" s="726"/>
      <c r="AH26" s="726"/>
      <c r="AI26" s="726"/>
      <c r="AJ26" s="726"/>
      <c r="AK26" s="726"/>
      <c r="AL26" s="726"/>
      <c r="AM26" s="726"/>
      <c r="AN26" s="726"/>
      <c r="AO26" s="726"/>
      <c r="AP26" s="726"/>
      <c r="AQ26" s="726"/>
      <c r="AR26" s="726"/>
      <c r="AS26" s="726"/>
      <c r="AT26" s="726"/>
      <c r="AU26" s="726"/>
      <c r="AV26" s="726"/>
      <c r="AW26" s="726"/>
      <c r="AX26" s="726"/>
      <c r="AY26" s="726"/>
      <c r="AZ26" s="726"/>
      <c r="BA26" s="726"/>
      <c r="BB26" s="726"/>
      <c r="BC26" s="726"/>
      <c r="BD26" s="726"/>
      <c r="BE26" s="726"/>
      <c r="BF26" s="726"/>
      <c r="BG26" s="726"/>
      <c r="BH26" s="726"/>
      <c r="BI26" s="726"/>
      <c r="BJ26" s="726"/>
      <c r="BK26" s="726"/>
      <c r="BL26" s="726"/>
      <c r="BM26" s="726"/>
      <c r="BN26" s="726"/>
      <c r="BO26" s="726"/>
      <c r="BP26" s="726"/>
      <c r="BQ26" s="726"/>
      <c r="BR26" s="726"/>
      <c r="BS26" s="726"/>
      <c r="BT26" s="726"/>
      <c r="BU26" s="726"/>
      <c r="BV26" s="726"/>
      <c r="BW26" s="726"/>
      <c r="BX26" s="726"/>
      <c r="BY26" s="726"/>
      <c r="BZ26" s="726"/>
      <c r="CA26" s="726"/>
      <c r="CB26" s="726"/>
      <c r="CC26" s="726"/>
      <c r="CD26" s="726"/>
      <c r="CE26" s="726"/>
      <c r="CF26" s="726"/>
      <c r="CG26" s="726"/>
      <c r="CH26" s="726"/>
      <c r="CI26" s="726"/>
      <c r="CJ26" s="726"/>
      <c r="CK26" s="726"/>
      <c r="CL26" s="726"/>
      <c r="CM26" s="726"/>
      <c r="CN26" s="726"/>
      <c r="CO26" s="726"/>
      <c r="CP26" s="726"/>
      <c r="CQ26" s="726"/>
      <c r="CR26" s="726"/>
    </row>
    <row r="27" spans="1:96" ht="18" hidden="1" customHeight="1" thickTop="1">
      <c r="A27" s="548" t="s">
        <v>186</v>
      </c>
      <c r="B27" s="733"/>
      <c r="C27" s="775"/>
      <c r="D27" s="775"/>
      <c r="E27" s="775"/>
      <c r="F27" s="775"/>
      <c r="G27" s="775"/>
      <c r="H27" s="775"/>
      <c r="I27" s="775"/>
      <c r="J27" s="775"/>
      <c r="K27" s="775"/>
      <c r="L27" s="775"/>
      <c r="M27" s="775"/>
      <c r="N27" s="775"/>
      <c r="O27" s="775"/>
      <c r="P27" s="775"/>
      <c r="Q27" s="775"/>
      <c r="R27" s="775"/>
      <c r="S27" s="775"/>
      <c r="T27" s="775"/>
      <c r="U27" s="776"/>
      <c r="V27" s="776"/>
      <c r="W27" s="761"/>
      <c r="X27" s="743"/>
    </row>
    <row r="28" spans="1:96" s="730" customFormat="1" ht="13.15" hidden="1">
      <c r="A28" s="38" t="s">
        <v>128</v>
      </c>
      <c r="B28" s="34" t="s">
        <v>129</v>
      </c>
      <c r="C28" s="772" t="str">
        <f>+IF('90'!C28&lt;0,$V$1,$W$1)</f>
        <v>ok</v>
      </c>
      <c r="D28" s="771" t="str">
        <f>+IF('90'!D28&lt;0,$V$1,$W$1)</f>
        <v>ok</v>
      </c>
      <c r="E28" s="772" t="str">
        <f>+IF('90'!E28&lt;0,$V$1,$W$1)</f>
        <v>ok</v>
      </c>
      <c r="F28" s="771" t="str">
        <f>+IF('90'!F28&lt;0,$V$1,$W$1)</f>
        <v>ok</v>
      </c>
      <c r="G28" s="772" t="str">
        <f>+IF('90'!G28&lt;0,$V$1,$W$1)</f>
        <v>ok</v>
      </c>
      <c r="H28" s="771" t="str">
        <f>+IF('90'!H28&lt;0,$V$1,$W$1)</f>
        <v>ok</v>
      </c>
      <c r="I28" s="772" t="str">
        <f>+IF('90'!I28&lt;0,$V$1,$W$1)</f>
        <v>ok</v>
      </c>
      <c r="J28" s="771" t="str">
        <f>+IF('90'!J28&lt;0,$V$1,$W$1)</f>
        <v>ok</v>
      </c>
      <c r="K28" s="772" t="str">
        <f>+IF('90'!K28&lt;0,$V$1,$W$1)</f>
        <v>ok</v>
      </c>
      <c r="L28" s="771" t="str">
        <f>+IF('90'!L28&lt;0,$V$1,$W$1)</f>
        <v>ok</v>
      </c>
      <c r="M28" s="772" t="str">
        <f>+IF('90'!M28&lt;0,$V$1,$W$1)</f>
        <v>ok</v>
      </c>
      <c r="N28" s="771" t="str">
        <f>+IF('90'!N28&lt;0,$V$1,$W$1)</f>
        <v>ok</v>
      </c>
      <c r="O28" s="772" t="str">
        <f>+IF('90'!O28&lt;0,$V$1,$W$1)</f>
        <v>ok</v>
      </c>
      <c r="P28" s="771" t="str">
        <f>+IF('90'!P28&lt;0,$V$1,$W$1)</f>
        <v>ok</v>
      </c>
      <c r="Q28" s="771"/>
      <c r="R28" s="771"/>
      <c r="S28" s="771"/>
      <c r="T28" s="771"/>
      <c r="U28" s="753" t="str">
        <f>+IF('90'!U28&lt;0,$V$1,$W$1)</f>
        <v>ok</v>
      </c>
      <c r="V28" s="752" t="str">
        <f>+IF('90'!V28&lt;0,$V$1,$W$1)</f>
        <v>ok</v>
      </c>
      <c r="W28" s="753" t="str">
        <f>+IF('90'!W28&lt;0,$V$1,$W$1)</f>
        <v>ok</v>
      </c>
      <c r="X28" s="740"/>
      <c r="Y28" s="725"/>
      <c r="Z28" s="725"/>
      <c r="AA28" s="725"/>
      <c r="AB28" s="725"/>
      <c r="AC28" s="725"/>
      <c r="AD28" s="725"/>
      <c r="AE28" s="725"/>
      <c r="AF28" s="725"/>
      <c r="AG28" s="725"/>
      <c r="AH28" s="725"/>
      <c r="AI28" s="725"/>
      <c r="AJ28" s="725"/>
      <c r="AK28" s="725"/>
      <c r="AL28" s="725"/>
      <c r="AM28" s="725"/>
      <c r="AN28" s="725"/>
      <c r="AO28" s="725"/>
      <c r="AP28" s="725"/>
      <c r="AQ28" s="725"/>
      <c r="AR28" s="725"/>
      <c r="AS28" s="725"/>
      <c r="AT28" s="725"/>
      <c r="AU28" s="725"/>
      <c r="AV28" s="725"/>
      <c r="AW28" s="725"/>
      <c r="AX28" s="725"/>
      <c r="AY28" s="725"/>
      <c r="AZ28" s="725"/>
      <c r="BA28" s="725"/>
      <c r="BB28" s="725"/>
      <c r="BC28" s="725"/>
      <c r="BD28" s="725"/>
      <c r="BE28" s="725"/>
      <c r="BF28" s="725"/>
      <c r="BG28" s="725"/>
      <c r="BH28" s="725"/>
      <c r="BI28" s="725"/>
      <c r="BJ28" s="725"/>
      <c r="BK28" s="725"/>
      <c r="BL28" s="725"/>
      <c r="BM28" s="725"/>
      <c r="BN28" s="725"/>
      <c r="BO28" s="725"/>
      <c r="BP28" s="725"/>
      <c r="BQ28" s="725"/>
      <c r="BR28" s="725"/>
      <c r="BS28" s="725"/>
      <c r="BT28" s="725"/>
      <c r="BU28" s="725"/>
      <c r="BV28" s="725"/>
      <c r="BW28" s="725"/>
      <c r="BX28" s="725"/>
      <c r="BY28" s="725"/>
      <c r="BZ28" s="725"/>
      <c r="CA28" s="725"/>
      <c r="CB28" s="725"/>
      <c r="CC28" s="725"/>
      <c r="CD28" s="725"/>
      <c r="CE28" s="725"/>
      <c r="CF28" s="725"/>
      <c r="CG28" s="725"/>
      <c r="CH28" s="725"/>
      <c r="CI28" s="725"/>
      <c r="CJ28" s="725"/>
      <c r="CK28" s="725"/>
      <c r="CL28" s="725"/>
      <c r="CM28" s="725"/>
      <c r="CN28" s="725"/>
      <c r="CO28" s="725"/>
      <c r="CP28" s="725"/>
      <c r="CQ28" s="725"/>
      <c r="CR28" s="725"/>
    </row>
    <row r="29" spans="1:96" s="730" customFormat="1" ht="13.9" hidden="1" thickBot="1">
      <c r="A29" s="604" t="s">
        <v>130</v>
      </c>
      <c r="B29" s="605" t="s">
        <v>131</v>
      </c>
      <c r="C29" s="777" t="str">
        <f>+IF('90'!C29&lt;0,$V$1,$W$1)</f>
        <v>ok</v>
      </c>
      <c r="D29" s="778" t="str">
        <f>+IF('90'!D29&lt;0,$V$1,$W$1)</f>
        <v>ok</v>
      </c>
      <c r="E29" s="777" t="str">
        <f>+IF('90'!E29&lt;0,$V$1,$W$1)</f>
        <v>ok</v>
      </c>
      <c r="F29" s="778" t="str">
        <f>+IF('90'!F29&lt;0,$V$1,$W$1)</f>
        <v>ok</v>
      </c>
      <c r="G29" s="777" t="str">
        <f>+IF('90'!G29&lt;0,$V$1,$W$1)</f>
        <v>ok</v>
      </c>
      <c r="H29" s="778" t="str">
        <f>+IF('90'!H29&lt;0,$V$1,$W$1)</f>
        <v>ok</v>
      </c>
      <c r="I29" s="777" t="str">
        <f>+IF('90'!I29&lt;0,$V$1,$W$1)</f>
        <v>ok</v>
      </c>
      <c r="J29" s="778" t="str">
        <f>+IF('90'!J29&lt;0,$V$1,$W$1)</f>
        <v>ok</v>
      </c>
      <c r="K29" s="777" t="str">
        <f>+IF('90'!K29&lt;0,$V$1,$W$1)</f>
        <v>ok</v>
      </c>
      <c r="L29" s="778" t="str">
        <f>+IF('90'!L29&lt;0,$V$1,$W$1)</f>
        <v>ok</v>
      </c>
      <c r="M29" s="777" t="str">
        <f>+IF('90'!M29&lt;0,$V$1,$W$1)</f>
        <v>ok</v>
      </c>
      <c r="N29" s="778" t="str">
        <f>+IF('90'!N29&lt;0,$V$1,$W$1)</f>
        <v>ok</v>
      </c>
      <c r="O29" s="777" t="str">
        <f>+IF('90'!O29&lt;0,$V$1,$W$1)</f>
        <v>ok</v>
      </c>
      <c r="P29" s="778" t="str">
        <f>+IF('90'!P29&lt;0,$V$1,$W$1)</f>
        <v>ok</v>
      </c>
      <c r="Q29" s="778"/>
      <c r="R29" s="778"/>
      <c r="S29" s="778"/>
      <c r="T29" s="778"/>
      <c r="U29" s="757" t="str">
        <f>+IF('90'!U29&lt;0,$V$1,$W$1)</f>
        <v>ok</v>
      </c>
      <c r="V29" s="757" t="str">
        <f>+IF('90'!V29&lt;0,$V$1,$W$1)</f>
        <v>ok</v>
      </c>
      <c r="W29" s="758" t="str">
        <f>+IF('90'!W29&lt;0,$V$1,$W$1)</f>
        <v>ok</v>
      </c>
      <c r="X29" s="740"/>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25"/>
      <c r="AY29" s="725"/>
      <c r="AZ29" s="725"/>
      <c r="BA29" s="725"/>
      <c r="BB29" s="725"/>
      <c r="BC29" s="725"/>
      <c r="BD29" s="725"/>
      <c r="BE29" s="725"/>
      <c r="BF29" s="725"/>
      <c r="BG29" s="725"/>
      <c r="BH29" s="725"/>
      <c r="BI29" s="725"/>
      <c r="BJ29" s="725"/>
      <c r="BK29" s="725"/>
      <c r="BL29" s="725"/>
      <c r="BM29" s="725"/>
      <c r="BN29" s="725"/>
      <c r="BO29" s="725"/>
      <c r="BP29" s="725"/>
      <c r="BQ29" s="725"/>
      <c r="BR29" s="725"/>
      <c r="BS29" s="725"/>
      <c r="BT29" s="725"/>
      <c r="BU29" s="725"/>
      <c r="BV29" s="725"/>
      <c r="BW29" s="725"/>
      <c r="BX29" s="725"/>
      <c r="BY29" s="725"/>
      <c r="BZ29" s="725"/>
      <c r="CA29" s="725"/>
      <c r="CB29" s="725"/>
      <c r="CC29" s="725"/>
      <c r="CD29" s="725"/>
      <c r="CE29" s="725"/>
      <c r="CF29" s="725"/>
      <c r="CG29" s="725"/>
      <c r="CH29" s="725"/>
      <c r="CI29" s="725"/>
      <c r="CJ29" s="725"/>
      <c r="CK29" s="725"/>
      <c r="CL29" s="725"/>
      <c r="CM29" s="725"/>
      <c r="CN29" s="725"/>
      <c r="CO29" s="725"/>
      <c r="CP29" s="725"/>
      <c r="CQ29" s="725"/>
      <c r="CR29" s="725"/>
    </row>
    <row r="30" spans="1:96" ht="18" thickTop="1">
      <c r="A30" s="548" t="s">
        <v>132</v>
      </c>
      <c r="B30" s="733"/>
      <c r="C30" s="775"/>
      <c r="D30" s="775"/>
      <c r="E30" s="775"/>
      <c r="F30" s="775"/>
      <c r="G30" s="775"/>
      <c r="H30" s="775"/>
      <c r="I30" s="775"/>
      <c r="J30" s="775"/>
      <c r="K30" s="775"/>
      <c r="L30" s="775"/>
      <c r="M30" s="775"/>
      <c r="N30" s="775"/>
      <c r="O30" s="775"/>
      <c r="P30" s="775"/>
      <c r="Q30" s="775"/>
      <c r="R30" s="775"/>
      <c r="S30" s="775"/>
      <c r="T30" s="775"/>
      <c r="U30" s="776"/>
      <c r="V30" s="776"/>
      <c r="W30" s="761"/>
    </row>
    <row r="31" spans="1:96" ht="13.15">
      <c r="A31" s="37" t="s">
        <v>133</v>
      </c>
      <c r="B31" s="736" t="s">
        <v>61</v>
      </c>
      <c r="C31" s="779"/>
      <c r="D31" s="779"/>
      <c r="E31" s="779"/>
      <c r="F31" s="779"/>
      <c r="G31" s="779"/>
      <c r="H31" s="779"/>
      <c r="I31" s="779"/>
      <c r="J31" s="779"/>
      <c r="K31" s="779"/>
      <c r="L31" s="779"/>
      <c r="M31" s="779"/>
      <c r="N31" s="779"/>
      <c r="O31" s="779"/>
      <c r="P31" s="779"/>
      <c r="Q31" s="779"/>
      <c r="R31" s="779"/>
      <c r="S31" s="779"/>
      <c r="T31" s="779"/>
      <c r="U31" s="780"/>
      <c r="V31" s="780"/>
      <c r="W31" s="751"/>
    </row>
    <row r="32" spans="1:96" s="730" customFormat="1" ht="13.15">
      <c r="A32" s="538" t="s">
        <v>134</v>
      </c>
      <c r="B32" s="22" t="s">
        <v>135</v>
      </c>
      <c r="C32" s="773" t="str">
        <f>+IF('90'!C32&lt;0,$V$1,$W$1)</f>
        <v>ok</v>
      </c>
      <c r="D32" s="774" t="str">
        <f>+IF('90'!D32&lt;0,$V$1,$W$1)</f>
        <v>ok</v>
      </c>
      <c r="E32" s="773" t="str">
        <f>+IF('90'!E32&lt;0,$V$1,$W$1)</f>
        <v>ok</v>
      </c>
      <c r="F32" s="774" t="str">
        <f>+IF('90'!F32&lt;0,$V$1,$W$1)</f>
        <v>ok</v>
      </c>
      <c r="G32" s="773" t="str">
        <f>+IF('90'!G32&lt;0,$V$1,$W$1)</f>
        <v>ok</v>
      </c>
      <c r="H32" s="774" t="str">
        <f>+IF('90'!H32&lt;0,$V$1,$W$1)</f>
        <v>ok</v>
      </c>
      <c r="I32" s="773" t="str">
        <f>+IF('90'!I32&lt;0,$V$1,$W$1)</f>
        <v>ok</v>
      </c>
      <c r="J32" s="774" t="str">
        <f>+IF('90'!J32&lt;0,$V$1,$W$1)</f>
        <v>ok</v>
      </c>
      <c r="K32" s="773" t="str">
        <f>+IF('90'!K32&lt;0,$V$1,$W$1)</f>
        <v>ok</v>
      </c>
      <c r="L32" s="774" t="str">
        <f>+IF('90'!L32&lt;0,$V$1,$W$1)</f>
        <v>ok</v>
      </c>
      <c r="M32" s="773" t="str">
        <f>+IF('90'!M32&lt;0,$V$1,$W$1)</f>
        <v>ok</v>
      </c>
      <c r="N32" s="774" t="str">
        <f>+IF('90'!N32&lt;0,$V$1,$W$1)</f>
        <v>ok</v>
      </c>
      <c r="O32" s="773" t="str">
        <f>+IF('90'!O32&lt;0,$V$1,$W$1)</f>
        <v>ok</v>
      </c>
      <c r="P32" s="774" t="str">
        <f>+IF('90'!P32&lt;0,$V$1,$W$1)</f>
        <v>ok</v>
      </c>
      <c r="Q32" s="773" t="str">
        <f>+IF('90'!Q32&lt;0,$V$1,$W$1)</f>
        <v>ok</v>
      </c>
      <c r="R32" s="774" t="str">
        <f>+IF('90'!R32&lt;0,$V$1,$W$1)</f>
        <v>ok</v>
      </c>
      <c r="S32" s="773" t="str">
        <f>+IF('90'!S32&lt;0,$V$1,$W$1)</f>
        <v>ok</v>
      </c>
      <c r="T32" s="774" t="str">
        <f>+IF('90'!T32&lt;0,$V$1,$W$1)</f>
        <v>ok</v>
      </c>
      <c r="U32" s="751" t="str">
        <f>+IF('90'!U32&lt;0,$V$1,$W$1)</f>
        <v>ok</v>
      </c>
      <c r="V32" s="752" t="str">
        <f>+IF('90'!V32&lt;0,$V$1,$W$1)</f>
        <v>ok</v>
      </c>
      <c r="W32" s="753" t="str">
        <f>+IF('90'!W32&lt;0,$V$1,$W$1)</f>
        <v>ok</v>
      </c>
      <c r="X32" s="740"/>
      <c r="Y32" s="725"/>
      <c r="Z32" s="725"/>
      <c r="AA32" s="725"/>
      <c r="AB32" s="725"/>
      <c r="AC32" s="725"/>
      <c r="AD32" s="725"/>
      <c r="AE32" s="725"/>
      <c r="AF32" s="725"/>
      <c r="AG32" s="725"/>
      <c r="AH32" s="725"/>
      <c r="AI32" s="725"/>
      <c r="AJ32" s="725"/>
      <c r="AK32" s="725"/>
      <c r="AL32" s="725"/>
      <c r="AM32" s="725"/>
      <c r="AN32" s="725"/>
      <c r="AO32" s="725"/>
      <c r="AP32" s="725"/>
      <c r="AQ32" s="725"/>
      <c r="AR32" s="725"/>
      <c r="AS32" s="725"/>
      <c r="AT32" s="725"/>
      <c r="AU32" s="725"/>
      <c r="AV32" s="725"/>
      <c r="AW32" s="725"/>
      <c r="AX32" s="725"/>
      <c r="AY32" s="725"/>
      <c r="AZ32" s="725"/>
      <c r="BA32" s="725"/>
      <c r="BB32" s="725"/>
      <c r="BC32" s="725"/>
      <c r="BD32" s="725"/>
      <c r="BE32" s="725"/>
      <c r="BF32" s="725"/>
      <c r="BG32" s="725"/>
      <c r="BH32" s="725"/>
      <c r="BI32" s="725"/>
      <c r="BJ32" s="725"/>
      <c r="BK32" s="725"/>
      <c r="BL32" s="725"/>
      <c r="BM32" s="725"/>
      <c r="BN32" s="725"/>
      <c r="BO32" s="725"/>
      <c r="BP32" s="725"/>
      <c r="BQ32" s="725"/>
      <c r="BR32" s="725"/>
      <c r="BS32" s="725"/>
      <c r="BT32" s="725"/>
      <c r="BU32" s="725"/>
      <c r="BV32" s="725"/>
      <c r="BW32" s="725"/>
      <c r="BX32" s="725"/>
      <c r="BY32" s="725"/>
      <c r="BZ32" s="725"/>
      <c r="CA32" s="725"/>
      <c r="CB32" s="725"/>
      <c r="CC32" s="725"/>
      <c r="CD32" s="725"/>
      <c r="CE32" s="725"/>
      <c r="CF32" s="725"/>
      <c r="CG32" s="725"/>
      <c r="CH32" s="725"/>
      <c r="CI32" s="725"/>
      <c r="CJ32" s="725"/>
      <c r="CK32" s="725"/>
      <c r="CL32" s="725"/>
      <c r="CM32" s="725"/>
      <c r="CN32" s="725"/>
      <c r="CO32" s="725"/>
      <c r="CP32" s="725"/>
      <c r="CQ32" s="725"/>
      <c r="CR32" s="725"/>
    </row>
    <row r="33" spans="1:96" s="730" customFormat="1" ht="13.15">
      <c r="A33" s="538" t="s">
        <v>136</v>
      </c>
      <c r="B33" s="22" t="s">
        <v>184</v>
      </c>
      <c r="C33" s="773" t="str">
        <f>+IF('90'!C33&lt;0,$V$1,$W$1)</f>
        <v>ok</v>
      </c>
      <c r="D33" s="774" t="str">
        <f>+IF('90'!D33&lt;0,$V$1,$W$1)</f>
        <v>ok</v>
      </c>
      <c r="E33" s="773" t="str">
        <f>+IF('90'!E33&lt;0,$V$1,$W$1)</f>
        <v>ok</v>
      </c>
      <c r="F33" s="774" t="str">
        <f>+IF('90'!F33&lt;0,$V$1,$W$1)</f>
        <v>ok</v>
      </c>
      <c r="G33" s="773" t="str">
        <f>+IF('90'!G33&lt;0,$V$1,$W$1)</f>
        <v>ok</v>
      </c>
      <c r="H33" s="774" t="str">
        <f>+IF('90'!H33&lt;0,$V$1,$W$1)</f>
        <v>ok</v>
      </c>
      <c r="I33" s="773" t="str">
        <f>+IF('90'!I33&lt;0,$V$1,$W$1)</f>
        <v>ok</v>
      </c>
      <c r="J33" s="774" t="str">
        <f>+IF('90'!J33&lt;0,$V$1,$W$1)</f>
        <v>ok</v>
      </c>
      <c r="K33" s="773" t="str">
        <f>+IF('90'!K33&lt;0,$V$1,$W$1)</f>
        <v>ok</v>
      </c>
      <c r="L33" s="774" t="str">
        <f>+IF('90'!L33&lt;0,$V$1,$W$1)</f>
        <v>ok</v>
      </c>
      <c r="M33" s="773" t="str">
        <f>+IF('90'!M33&lt;0,$V$1,$W$1)</f>
        <v>ok</v>
      </c>
      <c r="N33" s="774" t="str">
        <f>+IF('90'!N33&lt;0,$V$1,$W$1)</f>
        <v>ok</v>
      </c>
      <c r="O33" s="773" t="str">
        <f>+IF('90'!O33&lt;0,$V$1,$W$1)</f>
        <v>ok</v>
      </c>
      <c r="P33" s="774" t="str">
        <f>+IF('90'!P33&lt;0,$V$1,$W$1)</f>
        <v>ok</v>
      </c>
      <c r="Q33" s="773" t="str">
        <f>+IF('90'!Q33&lt;0,$V$1,$W$1)</f>
        <v>ok</v>
      </c>
      <c r="R33" s="774" t="str">
        <f>+IF('90'!R33&lt;0,$V$1,$W$1)</f>
        <v>ok</v>
      </c>
      <c r="S33" s="773" t="str">
        <f>+IF('90'!S33&lt;0,$V$1,$W$1)</f>
        <v>ok</v>
      </c>
      <c r="T33" s="774" t="str">
        <f>+IF('90'!T33&lt;0,$V$1,$W$1)</f>
        <v>ok</v>
      </c>
      <c r="U33" s="751" t="str">
        <f>+IF('90'!U33&lt;0,$V$1,$W$1)</f>
        <v>ok</v>
      </c>
      <c r="V33" s="752" t="str">
        <f>+IF('90'!V33&lt;0,$V$1,$W$1)</f>
        <v>ok</v>
      </c>
      <c r="W33" s="753" t="str">
        <f>+IF('90'!W33&lt;0,$V$1,$W$1)</f>
        <v>ok</v>
      </c>
      <c r="X33" s="740"/>
      <c r="Y33" s="725"/>
      <c r="Z33" s="725"/>
      <c r="AA33" s="725"/>
      <c r="AB33" s="725"/>
      <c r="AC33" s="725"/>
      <c r="AD33" s="725"/>
      <c r="AE33" s="725"/>
      <c r="AF33" s="725"/>
      <c r="AG33" s="725"/>
      <c r="AH33" s="725"/>
      <c r="AI33" s="725"/>
      <c r="AJ33" s="725"/>
      <c r="AK33" s="725"/>
      <c r="AL33" s="725"/>
      <c r="AM33" s="725"/>
      <c r="AN33" s="725"/>
      <c r="AO33" s="725"/>
      <c r="AP33" s="725"/>
      <c r="AQ33" s="725"/>
      <c r="AR33" s="725"/>
      <c r="AS33" s="725"/>
      <c r="AT33" s="725"/>
      <c r="AU33" s="725"/>
      <c r="AV33" s="725"/>
      <c r="AW33" s="725"/>
      <c r="AX33" s="725"/>
      <c r="AY33" s="725"/>
      <c r="AZ33" s="725"/>
      <c r="BA33" s="725"/>
      <c r="BB33" s="725"/>
      <c r="BC33" s="725"/>
      <c r="BD33" s="725"/>
      <c r="BE33" s="725"/>
      <c r="BF33" s="725"/>
      <c r="BG33" s="725"/>
      <c r="BH33" s="725"/>
      <c r="BI33" s="725"/>
      <c r="BJ33" s="725"/>
      <c r="BK33" s="725"/>
      <c r="BL33" s="725"/>
      <c r="BM33" s="725"/>
      <c r="BN33" s="725"/>
      <c r="BO33" s="725"/>
      <c r="BP33" s="725"/>
      <c r="BQ33" s="725"/>
      <c r="BR33" s="725"/>
      <c r="BS33" s="725"/>
      <c r="BT33" s="725"/>
      <c r="BU33" s="725"/>
      <c r="BV33" s="725"/>
      <c r="BW33" s="725"/>
      <c r="BX33" s="725"/>
      <c r="BY33" s="725"/>
      <c r="BZ33" s="725"/>
      <c r="CA33" s="725"/>
      <c r="CB33" s="725"/>
      <c r="CC33" s="725"/>
      <c r="CD33" s="725"/>
      <c r="CE33" s="725"/>
      <c r="CF33" s="725"/>
      <c r="CG33" s="725"/>
      <c r="CH33" s="725"/>
      <c r="CI33" s="725"/>
      <c r="CJ33" s="725"/>
      <c r="CK33" s="725"/>
      <c r="CL33" s="725"/>
      <c r="CM33" s="725"/>
      <c r="CN33" s="725"/>
      <c r="CO33" s="725"/>
      <c r="CP33" s="725"/>
      <c r="CQ33" s="725"/>
      <c r="CR33" s="725"/>
    </row>
    <row r="34" spans="1:96" s="730" customFormat="1" ht="26.45">
      <c r="A34" s="547" t="s">
        <v>137</v>
      </c>
      <c r="B34" s="22" t="s">
        <v>138</v>
      </c>
      <c r="C34" s="773" t="str">
        <f>+IF('90'!C34&lt;0,$V$1,$W$1)</f>
        <v>ok</v>
      </c>
      <c r="D34" s="774" t="str">
        <f>+IF('90'!D34&lt;0,$V$1,$W$1)</f>
        <v>ok</v>
      </c>
      <c r="E34" s="773" t="str">
        <f>+IF('90'!E34&lt;0,$V$1,$W$1)</f>
        <v>ok</v>
      </c>
      <c r="F34" s="774" t="str">
        <f>+IF('90'!F34&lt;0,$V$1,$W$1)</f>
        <v>ok</v>
      </c>
      <c r="G34" s="773" t="str">
        <f>+IF('90'!G34&lt;0,$V$1,$W$1)</f>
        <v>ok</v>
      </c>
      <c r="H34" s="774" t="str">
        <f>+IF('90'!H34&lt;0,$V$1,$W$1)</f>
        <v>ok</v>
      </c>
      <c r="I34" s="773" t="str">
        <f>+IF('90'!I34&lt;0,$V$1,$W$1)</f>
        <v>ok</v>
      </c>
      <c r="J34" s="774" t="str">
        <f>+IF('90'!J34&lt;0,$V$1,$W$1)</f>
        <v>ok</v>
      </c>
      <c r="K34" s="773" t="str">
        <f>+IF('90'!K34&lt;0,$V$1,$W$1)</f>
        <v>ok</v>
      </c>
      <c r="L34" s="774" t="str">
        <f>+IF('90'!L34&lt;0,$V$1,$W$1)</f>
        <v>ok</v>
      </c>
      <c r="M34" s="773" t="str">
        <f>+IF('90'!M34&lt;0,$V$1,$W$1)</f>
        <v>ok</v>
      </c>
      <c r="N34" s="774" t="str">
        <f>+IF('90'!N34&lt;0,$V$1,$W$1)</f>
        <v>ok</v>
      </c>
      <c r="O34" s="773" t="str">
        <f>+IF('90'!O34&lt;0,$V$1,$W$1)</f>
        <v>ok</v>
      </c>
      <c r="P34" s="774" t="str">
        <f>+IF('90'!P34&lt;0,$V$1,$W$1)</f>
        <v>ok</v>
      </c>
      <c r="Q34" s="773" t="str">
        <f>+IF('90'!Q34&lt;0,$V$1,$W$1)</f>
        <v>ok</v>
      </c>
      <c r="R34" s="774" t="str">
        <f>+IF('90'!R34&lt;0,$V$1,$W$1)</f>
        <v>ok</v>
      </c>
      <c r="S34" s="773" t="str">
        <f>+IF('90'!S34&lt;0,$V$1,$W$1)</f>
        <v>ok</v>
      </c>
      <c r="T34" s="774" t="str">
        <f>+IF('90'!T34&lt;0,$V$1,$W$1)</f>
        <v>ok</v>
      </c>
      <c r="U34" s="751" t="str">
        <f>+IF('90'!U34&lt;0,$V$1,$W$1)</f>
        <v>ok</v>
      </c>
      <c r="V34" s="751" t="str">
        <f>+IF('90'!V34&lt;0,$V$1,$W$1)</f>
        <v>ok</v>
      </c>
      <c r="W34" s="754" t="str">
        <f>+IF('90'!W34&lt;0,$V$1,$W$1)</f>
        <v>ok</v>
      </c>
      <c r="X34" s="740"/>
      <c r="Y34" s="725"/>
      <c r="Z34" s="725"/>
      <c r="AA34" s="725"/>
      <c r="AB34" s="725"/>
      <c r="AC34" s="725"/>
      <c r="AD34" s="725"/>
      <c r="AE34" s="725"/>
      <c r="AF34" s="725"/>
      <c r="AG34" s="725"/>
      <c r="AH34" s="725"/>
      <c r="AI34" s="725"/>
      <c r="AJ34" s="725"/>
      <c r="AK34" s="725"/>
      <c r="AL34" s="725"/>
      <c r="AM34" s="725"/>
      <c r="AN34" s="725"/>
      <c r="AO34" s="725"/>
      <c r="AP34" s="725"/>
      <c r="AQ34" s="725"/>
      <c r="AR34" s="725"/>
      <c r="AS34" s="725"/>
      <c r="AT34" s="725"/>
      <c r="AU34" s="725"/>
      <c r="AV34" s="725"/>
      <c r="AW34" s="725"/>
      <c r="AX34" s="725"/>
      <c r="AY34" s="725"/>
      <c r="AZ34" s="725"/>
      <c r="BA34" s="725"/>
      <c r="BB34" s="725"/>
      <c r="BC34" s="725"/>
      <c r="BD34" s="725"/>
      <c r="BE34" s="725"/>
      <c r="BF34" s="725"/>
      <c r="BG34" s="725"/>
      <c r="BH34" s="725"/>
      <c r="BI34" s="725"/>
      <c r="BJ34" s="725"/>
      <c r="BK34" s="725"/>
      <c r="BL34" s="725"/>
      <c r="BM34" s="725"/>
      <c r="BN34" s="725"/>
      <c r="BO34" s="725"/>
      <c r="BP34" s="725"/>
      <c r="BQ34" s="725"/>
      <c r="BR34" s="725"/>
      <c r="BS34" s="725"/>
      <c r="BT34" s="725"/>
      <c r="BU34" s="725"/>
      <c r="BV34" s="725"/>
      <c r="BW34" s="725"/>
      <c r="BX34" s="725"/>
      <c r="BY34" s="725"/>
      <c r="BZ34" s="725"/>
      <c r="CA34" s="725"/>
      <c r="CB34" s="725"/>
      <c r="CC34" s="725"/>
      <c r="CD34" s="725"/>
      <c r="CE34" s="725"/>
      <c r="CF34" s="725"/>
      <c r="CG34" s="725"/>
      <c r="CH34" s="725"/>
      <c r="CI34" s="725"/>
      <c r="CJ34" s="725"/>
      <c r="CK34" s="725"/>
      <c r="CL34" s="725"/>
      <c r="CM34" s="725"/>
      <c r="CN34" s="725"/>
      <c r="CO34" s="725"/>
      <c r="CP34" s="725"/>
      <c r="CQ34" s="725"/>
      <c r="CR34" s="725"/>
    </row>
    <row r="35" spans="1:96" s="742" customFormat="1" ht="27.75" customHeight="1">
      <c r="A35" s="636" t="s">
        <v>185</v>
      </c>
      <c r="B35" s="24" t="s">
        <v>140</v>
      </c>
      <c r="C35" s="751" t="str">
        <f>+IF('90'!C35&lt;0,$V$1,$W$1)</f>
        <v>ok</v>
      </c>
      <c r="D35" s="751" t="str">
        <f>+IF('90'!D35&lt;0,$V$1,$W$1)</f>
        <v>ok</v>
      </c>
      <c r="E35" s="751" t="str">
        <f>+IF('90'!E35&lt;0,$V$1,$W$1)</f>
        <v>ok</v>
      </c>
      <c r="F35" s="751" t="str">
        <f>+IF('90'!F35&lt;0,$V$1,$W$1)</f>
        <v>ok</v>
      </c>
      <c r="G35" s="751" t="str">
        <f>+IF('90'!G35&lt;0,$V$1,$W$1)</f>
        <v>ok</v>
      </c>
      <c r="H35" s="751" t="str">
        <f>+IF('90'!H35&lt;0,$V$1,$W$1)</f>
        <v>ok</v>
      </c>
      <c r="I35" s="751" t="str">
        <f>+IF('90'!I35&lt;0,$V$1,$W$1)</f>
        <v>ok</v>
      </c>
      <c r="J35" s="751" t="str">
        <f>+IF('90'!J35&lt;0,$V$1,$W$1)</f>
        <v>ok</v>
      </c>
      <c r="K35" s="751" t="str">
        <f>+IF('90'!K35&lt;0,$V$1,$W$1)</f>
        <v>ok</v>
      </c>
      <c r="L35" s="751" t="str">
        <f>+IF('90'!L35&lt;0,$V$1,$W$1)</f>
        <v>ok</v>
      </c>
      <c r="M35" s="751" t="str">
        <f>+IF('90'!M35&lt;0,$V$1,$W$1)</f>
        <v>ok</v>
      </c>
      <c r="N35" s="751" t="str">
        <f>+IF('90'!N35&lt;0,$V$1,$W$1)</f>
        <v>ok</v>
      </c>
      <c r="O35" s="751" t="str">
        <f>+IF('90'!O35&lt;0,$V$1,$W$1)</f>
        <v>ok</v>
      </c>
      <c r="P35" s="751" t="str">
        <f>+IF('90'!P35&lt;0,$V$1,$W$1)</f>
        <v>ok</v>
      </c>
      <c r="Q35" s="751" t="str">
        <f>+IF('90'!Q35&lt;0,$V$1,$W$1)</f>
        <v>ok</v>
      </c>
      <c r="R35" s="751" t="str">
        <f>+IF('90'!R35&lt;0,$V$1,$W$1)</f>
        <v>ok</v>
      </c>
      <c r="S35" s="751" t="str">
        <f>+IF('90'!S35&lt;0,$V$1,$W$1)</f>
        <v>ok</v>
      </c>
      <c r="T35" s="751" t="str">
        <f>+IF('90'!T35&lt;0,$V$1,$W$1)</f>
        <v>ok</v>
      </c>
      <c r="U35" s="751" t="str">
        <f>+IF('90'!U35&lt;0,$V$1,$W$1)</f>
        <v>ok</v>
      </c>
      <c r="V35" s="751" t="str">
        <f>+IF('90'!V35&lt;0,$V$1,$W$1)</f>
        <v>ok</v>
      </c>
      <c r="W35" s="754" t="str">
        <f>+IF('90'!W35&lt;0,$V$1,$W$1)</f>
        <v>ok</v>
      </c>
      <c r="X35" s="740"/>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row>
    <row r="36" spans="1:96" ht="25.5" customHeight="1">
      <c r="A36" s="744"/>
    </row>
    <row r="37" spans="1:96" ht="15.6">
      <c r="B37" s="745" t="str">
        <f>A1</f>
        <v>FALL ENROLLMENT 2021</v>
      </c>
      <c r="C37" s="746"/>
      <c r="D37" s="746"/>
      <c r="E37" s="746"/>
      <c r="F37" s="746"/>
      <c r="G37" s="746"/>
      <c r="H37" s="746"/>
      <c r="I37" s="746"/>
      <c r="J37" s="746"/>
      <c r="K37" s="746"/>
      <c r="L37" s="746"/>
      <c r="M37" s="746"/>
      <c r="N37" s="746"/>
      <c r="O37" s="746"/>
      <c r="P37" s="746"/>
      <c r="Q37" s="746"/>
      <c r="R37" s="746"/>
      <c r="S37" s="746"/>
      <c r="T37" s="746"/>
      <c r="U37" s="726" t="s">
        <v>61</v>
      </c>
    </row>
    <row r="38" spans="1:96" ht="15.6">
      <c r="A38" s="250">
        <f>A4</f>
        <v>130776</v>
      </c>
      <c r="B38" s="745"/>
      <c r="C38" s="746"/>
      <c r="D38" s="746"/>
      <c r="E38" s="746"/>
      <c r="F38" s="746"/>
      <c r="G38" s="746"/>
      <c r="H38" s="746"/>
      <c r="I38" s="746"/>
      <c r="J38" s="746"/>
      <c r="K38" s="746"/>
      <c r="L38" s="746"/>
      <c r="M38" s="746"/>
      <c r="N38" s="746"/>
      <c r="O38" s="746"/>
      <c r="P38" s="746"/>
      <c r="Q38" s="746"/>
      <c r="R38" s="746"/>
      <c r="S38" s="746"/>
      <c r="T38" s="746"/>
    </row>
    <row r="39" spans="1:96" s="730" customFormat="1" ht="13.15">
      <c r="A39" s="747" t="s">
        <v>61</v>
      </c>
      <c r="B39" s="731"/>
      <c r="C39" s="732"/>
      <c r="D39" s="732"/>
      <c r="E39" s="732"/>
      <c r="F39" s="732"/>
      <c r="G39" s="732"/>
      <c r="H39" s="732"/>
      <c r="I39" s="732"/>
      <c r="J39" s="732"/>
      <c r="K39" s="732"/>
      <c r="L39" s="732"/>
      <c r="M39" s="732"/>
      <c r="N39" s="732"/>
      <c r="O39" s="732"/>
      <c r="P39" s="732"/>
      <c r="Q39" s="732"/>
      <c r="R39" s="732"/>
      <c r="S39" s="732"/>
      <c r="T39" s="732"/>
      <c r="U39" s="732"/>
      <c r="V39" s="732"/>
      <c r="W39" s="732"/>
      <c r="X39" s="725"/>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725"/>
      <c r="AW39" s="725"/>
      <c r="AX39" s="725"/>
      <c r="AY39" s="725"/>
      <c r="AZ39" s="725"/>
      <c r="BA39" s="725"/>
      <c r="BB39" s="725"/>
      <c r="BC39" s="725"/>
      <c r="BD39" s="725"/>
      <c r="BE39" s="725"/>
      <c r="BF39" s="725"/>
      <c r="BG39" s="725"/>
      <c r="BH39" s="725"/>
      <c r="BI39" s="725"/>
      <c r="BJ39" s="725"/>
      <c r="BK39" s="725"/>
      <c r="BL39" s="725"/>
      <c r="BM39" s="725"/>
      <c r="BN39" s="725"/>
      <c r="BO39" s="725"/>
      <c r="BP39" s="725"/>
      <c r="BQ39" s="725"/>
      <c r="BR39" s="725"/>
      <c r="BS39" s="725"/>
      <c r="BT39" s="725"/>
      <c r="BU39" s="725"/>
      <c r="BV39" s="725"/>
      <c r="BW39" s="725"/>
      <c r="BX39" s="725"/>
      <c r="BY39" s="725"/>
      <c r="BZ39" s="725"/>
      <c r="CA39" s="725"/>
      <c r="CB39" s="725"/>
      <c r="CC39" s="725"/>
      <c r="CD39" s="725"/>
      <c r="CE39" s="725"/>
      <c r="CF39" s="725"/>
      <c r="CG39" s="725"/>
      <c r="CH39" s="725"/>
      <c r="CI39" s="725"/>
      <c r="CJ39" s="725"/>
      <c r="CK39" s="725"/>
      <c r="CL39" s="725"/>
      <c r="CM39" s="725"/>
      <c r="CN39" s="725"/>
      <c r="CO39" s="725"/>
      <c r="CP39" s="725"/>
      <c r="CQ39" s="725"/>
      <c r="CR39" s="725"/>
    </row>
    <row r="40" spans="1:96">
      <c r="A40" s="999" t="str">
        <f>+A10</f>
        <v>ERROR REPORT</v>
      </c>
      <c r="B40" s="36"/>
      <c r="C40" s="991" t="s">
        <v>54</v>
      </c>
      <c r="D40" s="992"/>
      <c r="E40" s="991" t="s">
        <v>55</v>
      </c>
      <c r="F40" s="992"/>
      <c r="G40" s="991" t="s">
        <v>56</v>
      </c>
      <c r="H40" s="992"/>
      <c r="I40" s="991"/>
      <c r="J40" s="992"/>
      <c r="K40" s="991" t="s">
        <v>57</v>
      </c>
      <c r="L40" s="992"/>
      <c r="M40" s="991"/>
      <c r="N40" s="992"/>
      <c r="O40" s="991" t="s">
        <v>58</v>
      </c>
      <c r="P40" s="992"/>
      <c r="Q40" s="991" t="s">
        <v>59</v>
      </c>
      <c r="R40" s="992"/>
      <c r="S40" s="991" t="s">
        <v>60</v>
      </c>
      <c r="T40" s="992"/>
      <c r="U40" s="59" t="s">
        <v>61</v>
      </c>
      <c r="V40" s="60"/>
      <c r="W40" s="61"/>
    </row>
    <row r="41" spans="1:96">
      <c r="A41" s="1026"/>
      <c r="B41" s="20"/>
      <c r="C41" s="993" t="s">
        <v>62</v>
      </c>
      <c r="D41" s="994"/>
      <c r="E41" s="993" t="s">
        <v>63</v>
      </c>
      <c r="F41" s="994"/>
      <c r="G41" s="993" t="s">
        <v>64</v>
      </c>
      <c r="H41" s="994"/>
      <c r="I41" s="993" t="s">
        <v>65</v>
      </c>
      <c r="J41" s="994"/>
      <c r="K41" s="993" t="s">
        <v>66</v>
      </c>
      <c r="L41" s="994"/>
      <c r="M41" s="993" t="s">
        <v>67</v>
      </c>
      <c r="N41" s="994"/>
      <c r="O41" s="993" t="s">
        <v>68</v>
      </c>
      <c r="P41" s="994"/>
      <c r="Q41" s="993" t="s">
        <v>69</v>
      </c>
      <c r="R41" s="994"/>
      <c r="S41" s="993" t="s">
        <v>70</v>
      </c>
      <c r="T41" s="994"/>
      <c r="U41" s="62" t="s">
        <v>71</v>
      </c>
      <c r="V41" s="63"/>
      <c r="W41" s="64"/>
    </row>
    <row r="42" spans="1:96" s="730" customFormat="1">
      <c r="A42" s="1038" t="str">
        <f>+A12</f>
        <v>Cells with "ERROR" entries means fewer total students (sheet 99) than combined students from the nine majors sheets (sheets 13 to 52)</v>
      </c>
      <c r="B42" s="20"/>
      <c r="C42" s="995" t="s">
        <v>73</v>
      </c>
      <c r="D42" s="996"/>
      <c r="E42" s="995" t="s">
        <v>56</v>
      </c>
      <c r="F42" s="996"/>
      <c r="G42" s="995" t="s">
        <v>74</v>
      </c>
      <c r="H42" s="996"/>
      <c r="I42" s="995"/>
      <c r="J42" s="996"/>
      <c r="K42" s="995" t="s">
        <v>75</v>
      </c>
      <c r="L42" s="996"/>
      <c r="M42" s="995"/>
      <c r="N42" s="996"/>
      <c r="O42" s="995" t="s">
        <v>76</v>
      </c>
      <c r="P42" s="996"/>
      <c r="Q42" s="995" t="s">
        <v>77</v>
      </c>
      <c r="R42" s="996"/>
      <c r="S42" s="995" t="s">
        <v>78</v>
      </c>
      <c r="T42" s="996"/>
      <c r="U42" s="65" t="s">
        <v>79</v>
      </c>
      <c r="V42" s="66"/>
      <c r="W42" s="67"/>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5"/>
      <c r="BS42" s="725"/>
      <c r="BT42" s="725"/>
      <c r="BU42" s="725"/>
      <c r="BV42" s="725"/>
      <c r="BW42" s="725"/>
      <c r="BX42" s="725"/>
      <c r="BY42" s="725"/>
      <c r="BZ42" s="725"/>
      <c r="CA42" s="725"/>
      <c r="CB42" s="725"/>
      <c r="CC42" s="725"/>
      <c r="CD42" s="725"/>
      <c r="CE42" s="725"/>
      <c r="CF42" s="725"/>
      <c r="CG42" s="725"/>
      <c r="CH42" s="725"/>
      <c r="CI42" s="725"/>
      <c r="CJ42" s="725"/>
      <c r="CK42" s="725"/>
      <c r="CL42" s="725"/>
      <c r="CM42" s="725"/>
      <c r="CN42" s="725"/>
      <c r="CO42" s="725"/>
      <c r="CP42" s="725"/>
      <c r="CQ42" s="725"/>
      <c r="CR42" s="725"/>
    </row>
    <row r="43" spans="1:96" ht="39.75" customHeight="1">
      <c r="A43" s="1029"/>
      <c r="B43" s="20" t="s">
        <v>80</v>
      </c>
      <c r="C43" s="68" t="s">
        <v>81</v>
      </c>
      <c r="D43" s="23" t="s">
        <v>82</v>
      </c>
      <c r="E43" s="68" t="s">
        <v>81</v>
      </c>
      <c r="F43" s="23" t="s">
        <v>82</v>
      </c>
      <c r="G43" s="68" t="s">
        <v>81</v>
      </c>
      <c r="H43" s="23" t="s">
        <v>82</v>
      </c>
      <c r="I43" s="68" t="s">
        <v>81</v>
      </c>
      <c r="J43" s="23" t="s">
        <v>82</v>
      </c>
      <c r="K43" s="68" t="s">
        <v>81</v>
      </c>
      <c r="L43" s="23" t="s">
        <v>82</v>
      </c>
      <c r="M43" s="68" t="s">
        <v>81</v>
      </c>
      <c r="N43" s="23" t="s">
        <v>82</v>
      </c>
      <c r="O43" s="68" t="s">
        <v>81</v>
      </c>
      <c r="P43" s="23" t="s">
        <v>82</v>
      </c>
      <c r="Q43" s="68" t="s">
        <v>81</v>
      </c>
      <c r="R43" s="23" t="s">
        <v>82</v>
      </c>
      <c r="S43" s="68" t="s">
        <v>81</v>
      </c>
      <c r="T43" s="23" t="s">
        <v>82</v>
      </c>
      <c r="U43" s="69" t="s">
        <v>81</v>
      </c>
      <c r="V43" s="21" t="s">
        <v>82</v>
      </c>
      <c r="W43" s="21" t="s">
        <v>83</v>
      </c>
    </row>
    <row r="44" spans="1:96" s="730" customFormat="1" ht="13.15">
      <c r="A44" s="602" t="s">
        <v>84</v>
      </c>
      <c r="B44" s="19" t="s">
        <v>85</v>
      </c>
      <c r="C44" s="70" t="s">
        <v>86</v>
      </c>
      <c r="D44" s="70" t="s">
        <v>87</v>
      </c>
      <c r="E44" s="70" t="s">
        <v>88</v>
      </c>
      <c r="F44" s="70" t="s">
        <v>89</v>
      </c>
      <c r="G44" s="70" t="s">
        <v>90</v>
      </c>
      <c r="H44" s="70" t="s">
        <v>91</v>
      </c>
      <c r="I44" s="70" t="s">
        <v>92</v>
      </c>
      <c r="J44" s="70" t="s">
        <v>93</v>
      </c>
      <c r="K44" s="70" t="s">
        <v>94</v>
      </c>
      <c r="L44" s="70" t="s">
        <v>95</v>
      </c>
      <c r="M44" s="70" t="s">
        <v>96</v>
      </c>
      <c r="N44" s="70" t="s">
        <v>97</v>
      </c>
      <c r="O44" s="70" t="s">
        <v>98</v>
      </c>
      <c r="P44" s="70" t="s">
        <v>99</v>
      </c>
      <c r="Q44" s="70" t="s">
        <v>100</v>
      </c>
      <c r="R44" s="70" t="s">
        <v>101</v>
      </c>
      <c r="S44" s="70" t="s">
        <v>102</v>
      </c>
      <c r="T44" s="70" t="s">
        <v>103</v>
      </c>
      <c r="U44" s="71" t="s">
        <v>104</v>
      </c>
      <c r="V44" s="71" t="s">
        <v>105</v>
      </c>
      <c r="W44" s="71" t="s">
        <v>106</v>
      </c>
      <c r="X44" s="725"/>
      <c r="Y44" s="725"/>
      <c r="Z44" s="725"/>
      <c r="AA44" s="725"/>
      <c r="AB44" s="725"/>
      <c r="AC44" s="725"/>
      <c r="AD44" s="725"/>
      <c r="AE44" s="725"/>
      <c r="AF44" s="725"/>
      <c r="AG44" s="725"/>
      <c r="AH44" s="725"/>
      <c r="AI44" s="725"/>
      <c r="AJ44" s="725"/>
      <c r="AK44" s="725"/>
      <c r="AL44" s="725"/>
      <c r="AM44" s="725"/>
      <c r="AN44" s="725"/>
      <c r="AO44" s="725"/>
      <c r="AP44" s="725"/>
      <c r="AQ44" s="725"/>
      <c r="AR44" s="725"/>
      <c r="AS44" s="725"/>
      <c r="AT44" s="725"/>
      <c r="AU44" s="725"/>
      <c r="AV44" s="725"/>
      <c r="AW44" s="725"/>
      <c r="AX44" s="725"/>
      <c r="AY44" s="725"/>
      <c r="AZ44" s="725"/>
      <c r="BA44" s="725"/>
      <c r="BB44" s="725"/>
      <c r="BC44" s="725"/>
      <c r="BD44" s="725"/>
      <c r="BE44" s="725"/>
      <c r="BF44" s="725"/>
      <c r="BG44" s="725"/>
      <c r="BH44" s="725"/>
      <c r="BI44" s="725"/>
      <c r="BJ44" s="725"/>
      <c r="BK44" s="725"/>
      <c r="BL44" s="725"/>
      <c r="BM44" s="725"/>
      <c r="BN44" s="725"/>
      <c r="BO44" s="725"/>
      <c r="BP44" s="725"/>
      <c r="BQ44" s="725"/>
      <c r="BR44" s="725"/>
      <c r="BS44" s="725"/>
      <c r="BT44" s="725"/>
      <c r="BU44" s="725"/>
      <c r="BV44" s="725"/>
      <c r="BW44" s="725"/>
      <c r="BX44" s="725"/>
      <c r="BY44" s="725"/>
      <c r="BZ44" s="725"/>
      <c r="CA44" s="725"/>
      <c r="CB44" s="725"/>
      <c r="CC44" s="725"/>
      <c r="CD44" s="725"/>
      <c r="CE44" s="725"/>
      <c r="CF44" s="725"/>
      <c r="CG44" s="725"/>
      <c r="CH44" s="725"/>
      <c r="CI44" s="725"/>
      <c r="CJ44" s="725"/>
      <c r="CK44" s="725"/>
      <c r="CL44" s="725"/>
      <c r="CM44" s="725"/>
      <c r="CN44" s="725"/>
      <c r="CO44" s="725"/>
      <c r="CP44" s="725"/>
      <c r="CQ44" s="725"/>
      <c r="CR44" s="725"/>
    </row>
    <row r="45" spans="1:96" s="730" customFormat="1" ht="22.9">
      <c r="A45" s="987" t="s">
        <v>141</v>
      </c>
      <c r="B45" s="988"/>
      <c r="C45" s="988"/>
      <c r="D45" s="988"/>
      <c r="E45" s="988"/>
      <c r="F45" s="988"/>
      <c r="G45" s="988"/>
      <c r="H45" s="988"/>
      <c r="I45" s="988"/>
      <c r="J45" s="988"/>
      <c r="K45" s="988"/>
      <c r="L45" s="988"/>
      <c r="M45" s="988"/>
      <c r="N45" s="988"/>
      <c r="O45" s="988"/>
      <c r="P45" s="988"/>
      <c r="Q45" s="988"/>
      <c r="R45" s="988"/>
      <c r="S45" s="988"/>
      <c r="T45" s="988"/>
      <c r="U45" s="988"/>
      <c r="V45" s="988"/>
      <c r="W45" s="989"/>
      <c r="X45" s="725"/>
      <c r="Y45" s="725"/>
      <c r="Z45" s="725"/>
      <c r="AA45" s="725"/>
      <c r="AB45" s="725"/>
      <c r="AC45" s="725"/>
      <c r="AD45" s="725"/>
      <c r="AE45" s="725"/>
      <c r="AF45" s="725"/>
      <c r="AG45" s="725"/>
      <c r="AH45" s="725"/>
      <c r="AI45" s="725"/>
      <c r="AJ45" s="725"/>
      <c r="AK45" s="725"/>
      <c r="AL45" s="725"/>
      <c r="AM45" s="725"/>
      <c r="AN45" s="725"/>
      <c r="AO45" s="725"/>
      <c r="AP45" s="725"/>
      <c r="AQ45" s="725"/>
      <c r="AR45" s="725"/>
      <c r="AS45" s="725"/>
      <c r="AT45" s="725"/>
      <c r="AU45" s="725"/>
      <c r="AV45" s="725"/>
      <c r="AW45" s="725"/>
      <c r="AX45" s="725"/>
      <c r="AY45" s="725"/>
      <c r="AZ45" s="725"/>
      <c r="BA45" s="725"/>
      <c r="BB45" s="725"/>
      <c r="BC45" s="725"/>
      <c r="BD45" s="725"/>
      <c r="BE45" s="725"/>
      <c r="BF45" s="725"/>
      <c r="BG45" s="725"/>
      <c r="BH45" s="725"/>
      <c r="BI45" s="725"/>
      <c r="BJ45" s="725"/>
      <c r="BK45" s="725"/>
      <c r="BL45" s="725"/>
      <c r="BM45" s="725"/>
      <c r="BN45" s="725"/>
      <c r="BO45" s="725"/>
      <c r="BP45" s="725"/>
      <c r="BQ45" s="725"/>
      <c r="BR45" s="725"/>
      <c r="BS45" s="725"/>
      <c r="BT45" s="725"/>
      <c r="BU45" s="725"/>
      <c r="BV45" s="725"/>
      <c r="BW45" s="725"/>
      <c r="BX45" s="725"/>
      <c r="BY45" s="725"/>
      <c r="BZ45" s="725"/>
      <c r="CA45" s="725"/>
      <c r="CB45" s="725"/>
      <c r="CC45" s="725"/>
      <c r="CD45" s="725"/>
      <c r="CE45" s="725"/>
      <c r="CF45" s="725"/>
      <c r="CG45" s="725"/>
      <c r="CH45" s="725"/>
      <c r="CI45" s="725"/>
      <c r="CJ45" s="725"/>
      <c r="CK45" s="725"/>
      <c r="CL45" s="725"/>
      <c r="CM45" s="725"/>
      <c r="CN45" s="725"/>
      <c r="CO45" s="725"/>
      <c r="CP45" s="725"/>
      <c r="CQ45" s="725"/>
      <c r="CR45" s="725"/>
    </row>
    <row r="46" spans="1:96" ht="17.45">
      <c r="A46" s="548" t="s">
        <v>108</v>
      </c>
      <c r="B46" s="733"/>
      <c r="C46" s="734"/>
      <c r="D46" s="734"/>
      <c r="E46" s="734"/>
      <c r="F46" s="734"/>
      <c r="G46" s="734"/>
      <c r="H46" s="734"/>
      <c r="I46" s="734"/>
      <c r="J46" s="734"/>
      <c r="K46" s="734"/>
      <c r="L46" s="734"/>
      <c r="M46" s="734"/>
      <c r="N46" s="734"/>
      <c r="O46" s="734"/>
      <c r="P46" s="734"/>
      <c r="Q46" s="734"/>
      <c r="R46" s="734"/>
      <c r="S46" s="734"/>
      <c r="T46" s="734"/>
      <c r="U46" s="735"/>
      <c r="V46" s="735"/>
      <c r="W46" s="21"/>
    </row>
    <row r="47" spans="1:96" ht="13.15">
      <c r="A47" s="37" t="s">
        <v>133</v>
      </c>
      <c r="B47" s="736"/>
      <c r="C47" s="737"/>
      <c r="D47" s="737"/>
      <c r="E47" s="737"/>
      <c r="F47" s="737"/>
      <c r="G47" s="737"/>
      <c r="H47" s="737"/>
      <c r="I47" s="737"/>
      <c r="J47" s="737"/>
      <c r="K47" s="737"/>
      <c r="L47" s="737"/>
      <c r="M47" s="737"/>
      <c r="N47" s="737"/>
      <c r="O47" s="737"/>
      <c r="P47" s="737"/>
      <c r="Q47" s="737"/>
      <c r="R47" s="737"/>
      <c r="S47" s="737"/>
      <c r="T47" s="737"/>
      <c r="U47" s="738"/>
      <c r="V47" s="738"/>
      <c r="W47" s="739"/>
    </row>
    <row r="48" spans="1:96" s="730" customFormat="1" ht="13.15">
      <c r="A48" s="823" t="s">
        <v>110</v>
      </c>
      <c r="B48" s="34">
        <v>15</v>
      </c>
      <c r="C48" s="772" t="str">
        <f>+IF('90'!C48&lt;0,$V$1,$W$1)</f>
        <v>ok</v>
      </c>
      <c r="D48" s="771" t="str">
        <f>+IF('90'!D48&lt;0,$V$1,$W$1)</f>
        <v>ok</v>
      </c>
      <c r="E48" s="772" t="str">
        <f>+IF('90'!E48&lt;0,$V$1,$W$1)</f>
        <v>ok</v>
      </c>
      <c r="F48" s="771" t="str">
        <f>+IF('90'!F48&lt;0,$V$1,$W$1)</f>
        <v>ok</v>
      </c>
      <c r="G48" s="772" t="str">
        <f>+IF('90'!G48&lt;0,$V$1,$W$1)</f>
        <v>ok</v>
      </c>
      <c r="H48" s="771" t="str">
        <f>+IF('90'!H48&lt;0,$V$1,$W$1)</f>
        <v>ok</v>
      </c>
      <c r="I48" s="772" t="str">
        <f>+IF('90'!I48&lt;0,$V$1,$W$1)</f>
        <v>ok</v>
      </c>
      <c r="J48" s="771" t="str">
        <f>+IF('90'!J48&lt;0,$V$1,$W$1)</f>
        <v>ok</v>
      </c>
      <c r="K48" s="772" t="str">
        <f>+IF('90'!K48&lt;0,$V$1,$W$1)</f>
        <v>ok</v>
      </c>
      <c r="L48" s="771" t="str">
        <f>+IF('90'!L48&lt;0,$V$1,$W$1)</f>
        <v>ok</v>
      </c>
      <c r="M48" s="772" t="str">
        <f>+IF('90'!M48&lt;0,$V$1,$W$1)</f>
        <v>ok</v>
      </c>
      <c r="N48" s="771" t="str">
        <f>+IF('90'!N48&lt;0,$V$1,$W$1)</f>
        <v>ok</v>
      </c>
      <c r="O48" s="772" t="str">
        <f>+IF('90'!O48&lt;0,$V$1,$W$1)</f>
        <v>ok</v>
      </c>
      <c r="P48" s="771" t="str">
        <f>+IF('90'!P48&lt;0,$V$1,$W$1)</f>
        <v>ok</v>
      </c>
      <c r="Q48" s="772" t="str">
        <f>+IF('90'!Q48&lt;0,$V$1,$W$1)</f>
        <v>ok</v>
      </c>
      <c r="R48" s="771" t="str">
        <f>+IF('90'!R48&lt;0,$V$1,$W$1)</f>
        <v>ok</v>
      </c>
      <c r="S48" s="772" t="str">
        <f>+IF('90'!S48&lt;0,$V$1,$W$1)</f>
        <v>ok</v>
      </c>
      <c r="T48" s="771" t="str">
        <f>+IF('90'!T48&lt;0,$V$1,$W$1)</f>
        <v>ok</v>
      </c>
      <c r="U48" s="751" t="str">
        <f>+IF('90'!U48&lt;0,$V$1,$W$1)</f>
        <v>ok</v>
      </c>
      <c r="V48" s="752" t="str">
        <f>+IF('90'!V48&lt;0,$V$1,$W$1)</f>
        <v>ok</v>
      </c>
      <c r="W48" s="753" t="str">
        <f>+IF('90'!W48&lt;0,$V$1,$W$1)</f>
        <v>ok</v>
      </c>
      <c r="X48" s="740"/>
      <c r="Y48" s="725"/>
      <c r="Z48" s="725"/>
      <c r="AA48" s="725"/>
      <c r="AB48" s="725"/>
      <c r="AC48" s="725"/>
      <c r="AD48" s="725"/>
      <c r="AE48" s="725"/>
      <c r="AF48" s="725"/>
      <c r="AG48" s="725"/>
      <c r="AH48" s="725"/>
      <c r="AI48" s="725"/>
      <c r="AJ48" s="725"/>
      <c r="AK48" s="725"/>
      <c r="AL48" s="725"/>
      <c r="AM48" s="725"/>
      <c r="AN48" s="725"/>
      <c r="AO48" s="725"/>
      <c r="AP48" s="725"/>
      <c r="AQ48" s="725"/>
      <c r="AR48" s="725"/>
      <c r="AS48" s="725"/>
      <c r="AT48" s="725"/>
      <c r="AU48" s="725"/>
      <c r="AV48" s="725"/>
      <c r="AW48" s="725"/>
      <c r="AX48" s="725"/>
      <c r="AY48" s="725"/>
      <c r="AZ48" s="725"/>
      <c r="BA48" s="725"/>
      <c r="BB48" s="725"/>
      <c r="BC48" s="725"/>
      <c r="BD48" s="725"/>
      <c r="BE48" s="725"/>
      <c r="BF48" s="725"/>
      <c r="BG48" s="725"/>
      <c r="BH48" s="725"/>
      <c r="BI48" s="725"/>
      <c r="BJ48" s="725"/>
      <c r="BK48" s="725"/>
      <c r="BL48" s="725"/>
      <c r="BM48" s="725"/>
      <c r="BN48" s="725"/>
      <c r="BO48" s="725"/>
      <c r="BP48" s="725"/>
      <c r="BQ48" s="725"/>
      <c r="BR48" s="725"/>
      <c r="BS48" s="725"/>
      <c r="BT48" s="725"/>
      <c r="BU48" s="725"/>
      <c r="BV48" s="725"/>
      <c r="BW48" s="725"/>
      <c r="BX48" s="725"/>
      <c r="BY48" s="725"/>
      <c r="BZ48" s="725"/>
      <c r="CA48" s="725"/>
      <c r="CB48" s="725"/>
      <c r="CC48" s="725"/>
      <c r="CD48" s="725"/>
      <c r="CE48" s="725"/>
      <c r="CF48" s="725"/>
      <c r="CG48" s="725"/>
      <c r="CH48" s="725"/>
      <c r="CI48" s="725"/>
      <c r="CJ48" s="725"/>
      <c r="CK48" s="725"/>
      <c r="CL48" s="725"/>
      <c r="CM48" s="725"/>
      <c r="CN48" s="725"/>
      <c r="CO48" s="725"/>
      <c r="CP48" s="725"/>
      <c r="CQ48" s="725"/>
      <c r="CR48" s="725"/>
    </row>
    <row r="49" spans="1:96" s="730" customFormat="1" ht="13.15">
      <c r="A49" s="824" t="s">
        <v>112</v>
      </c>
      <c r="B49" s="22" t="s">
        <v>142</v>
      </c>
      <c r="C49" s="781" t="str">
        <f>+IF('90'!C49&lt;0,$V$1,$W$1)</f>
        <v>ok</v>
      </c>
      <c r="D49" s="782" t="str">
        <f>+IF('90'!D49&lt;0,$V$1,$W$1)</f>
        <v>ok</v>
      </c>
      <c r="E49" s="781" t="str">
        <f>+IF('90'!E49&lt;0,$V$1,$W$1)</f>
        <v>ok</v>
      </c>
      <c r="F49" s="782" t="str">
        <f>+IF('90'!F49&lt;0,$V$1,$W$1)</f>
        <v>ok</v>
      </c>
      <c r="G49" s="781" t="str">
        <f>+IF('90'!G49&lt;0,$V$1,$W$1)</f>
        <v>ok</v>
      </c>
      <c r="H49" s="782" t="str">
        <f>+IF('90'!H49&lt;0,$V$1,$W$1)</f>
        <v>ok</v>
      </c>
      <c r="I49" s="781" t="str">
        <f>+IF('90'!I49&lt;0,$V$1,$W$1)</f>
        <v>ok</v>
      </c>
      <c r="J49" s="782" t="str">
        <f>+IF('90'!J49&lt;0,$V$1,$W$1)</f>
        <v>ok</v>
      </c>
      <c r="K49" s="781" t="str">
        <f>+IF('90'!K49&lt;0,$V$1,$W$1)</f>
        <v>ok</v>
      </c>
      <c r="L49" s="782" t="str">
        <f>+IF('90'!L49&lt;0,$V$1,$W$1)</f>
        <v>ok</v>
      </c>
      <c r="M49" s="781" t="str">
        <f>+IF('90'!M49&lt;0,$V$1,$W$1)</f>
        <v>ok</v>
      </c>
      <c r="N49" s="782" t="str">
        <f>+IF('90'!N49&lt;0,$V$1,$W$1)</f>
        <v>ok</v>
      </c>
      <c r="O49" s="781" t="str">
        <f>+IF('90'!O49&lt;0,$V$1,$W$1)</f>
        <v>ok</v>
      </c>
      <c r="P49" s="782" t="str">
        <f>+IF('90'!P49&lt;0,$V$1,$W$1)</f>
        <v>ok</v>
      </c>
      <c r="Q49" s="781" t="str">
        <f>+IF('90'!Q49&lt;0,$V$1,$W$1)</f>
        <v>ok</v>
      </c>
      <c r="R49" s="782" t="str">
        <f>+IF('90'!R49&lt;0,$V$1,$W$1)</f>
        <v>ok</v>
      </c>
      <c r="S49" s="781" t="str">
        <f>+IF('90'!S49&lt;0,$V$1,$W$1)</f>
        <v>ok</v>
      </c>
      <c r="T49" s="782" t="str">
        <f>+IF('90'!T49&lt;0,$V$1,$W$1)</f>
        <v>ok</v>
      </c>
      <c r="U49" s="751" t="str">
        <f>+IF('90'!U49&lt;0,$V$1,$W$1)</f>
        <v>ok</v>
      </c>
      <c r="V49" s="752" t="str">
        <f>+IF('90'!V49&lt;0,$V$1,$W$1)</f>
        <v>ok</v>
      </c>
      <c r="W49" s="753" t="str">
        <f>+IF('90'!W49&lt;0,$V$1,$W$1)</f>
        <v>ok</v>
      </c>
      <c r="X49" s="740"/>
      <c r="Y49" s="725"/>
      <c r="Z49" s="725"/>
      <c r="AA49" s="725"/>
      <c r="AB49" s="725"/>
      <c r="AC49" s="725"/>
      <c r="AD49" s="725"/>
      <c r="AE49" s="725"/>
      <c r="AF49" s="725"/>
      <c r="AG49" s="725"/>
      <c r="AH49" s="725"/>
      <c r="AI49" s="725"/>
      <c r="AJ49" s="725"/>
      <c r="AK49" s="725"/>
      <c r="AL49" s="725"/>
      <c r="AM49" s="725"/>
      <c r="AN49" s="725"/>
      <c r="AO49" s="725"/>
      <c r="AP49" s="725"/>
      <c r="AQ49" s="725"/>
      <c r="AR49" s="725"/>
      <c r="AS49" s="725"/>
      <c r="AT49" s="725"/>
      <c r="AU49" s="725"/>
      <c r="AV49" s="725"/>
      <c r="AW49" s="725"/>
      <c r="AX49" s="725"/>
      <c r="AY49" s="725"/>
      <c r="AZ49" s="725"/>
      <c r="BA49" s="725"/>
      <c r="BB49" s="725"/>
      <c r="BC49" s="725"/>
      <c r="BD49" s="725"/>
      <c r="BE49" s="725"/>
      <c r="BF49" s="725"/>
      <c r="BG49" s="725"/>
      <c r="BH49" s="725"/>
      <c r="BI49" s="725"/>
      <c r="BJ49" s="725"/>
      <c r="BK49" s="725"/>
      <c r="BL49" s="725"/>
      <c r="BM49" s="725"/>
      <c r="BN49" s="725"/>
      <c r="BO49" s="725"/>
      <c r="BP49" s="725"/>
      <c r="BQ49" s="725"/>
      <c r="BR49" s="725"/>
      <c r="BS49" s="725"/>
      <c r="BT49" s="725"/>
      <c r="BU49" s="725"/>
      <c r="BV49" s="725"/>
      <c r="BW49" s="725"/>
      <c r="BX49" s="725"/>
      <c r="BY49" s="725"/>
      <c r="BZ49" s="725"/>
      <c r="CA49" s="725"/>
      <c r="CB49" s="725"/>
      <c r="CC49" s="725"/>
      <c r="CD49" s="725"/>
      <c r="CE49" s="725"/>
      <c r="CF49" s="725"/>
      <c r="CG49" s="725"/>
      <c r="CH49" s="725"/>
      <c r="CI49" s="725"/>
      <c r="CJ49" s="725"/>
      <c r="CK49" s="725"/>
      <c r="CL49" s="725"/>
      <c r="CM49" s="725"/>
      <c r="CN49" s="725"/>
      <c r="CO49" s="725"/>
      <c r="CP49" s="725"/>
      <c r="CQ49" s="725"/>
      <c r="CR49" s="725"/>
    </row>
    <row r="50" spans="1:96" s="730" customFormat="1" ht="15.6">
      <c r="A50" s="1036" t="s">
        <v>114</v>
      </c>
      <c r="B50" s="973"/>
      <c r="C50" s="973"/>
      <c r="D50" s="973"/>
      <c r="E50" s="973"/>
      <c r="F50" s="973"/>
      <c r="G50" s="973"/>
      <c r="H50" s="973"/>
      <c r="I50" s="973"/>
      <c r="J50" s="973"/>
      <c r="K50" s="973"/>
      <c r="L50" s="973"/>
      <c r="M50" s="973"/>
      <c r="N50" s="973"/>
      <c r="O50" s="973"/>
      <c r="P50" s="973"/>
      <c r="Q50" s="973"/>
      <c r="R50" s="973"/>
      <c r="S50" s="973"/>
      <c r="T50" s="973"/>
      <c r="U50" s="973"/>
      <c r="V50" s="973"/>
      <c r="W50" s="1037"/>
      <c r="X50" s="740"/>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25"/>
      <c r="AY50" s="725"/>
      <c r="AZ50" s="725"/>
      <c r="BA50" s="725"/>
      <c r="BB50" s="725"/>
      <c r="BC50" s="725"/>
      <c r="BD50" s="725"/>
      <c r="BE50" s="725"/>
      <c r="BF50" s="725"/>
      <c r="BG50" s="725"/>
      <c r="BH50" s="725"/>
      <c r="BI50" s="725"/>
      <c r="BJ50" s="725"/>
      <c r="BK50" s="725"/>
      <c r="BL50" s="725"/>
      <c r="BM50" s="725"/>
      <c r="BN50" s="725"/>
      <c r="BO50" s="725"/>
      <c r="BP50" s="725"/>
      <c r="BQ50" s="725"/>
      <c r="BR50" s="725"/>
      <c r="BS50" s="725"/>
      <c r="BT50" s="725"/>
      <c r="BU50" s="725"/>
      <c r="BV50" s="725"/>
      <c r="BW50" s="725"/>
      <c r="BX50" s="725"/>
      <c r="BY50" s="725"/>
      <c r="BZ50" s="725"/>
      <c r="CA50" s="725"/>
      <c r="CB50" s="725"/>
      <c r="CC50" s="725"/>
      <c r="CD50" s="725"/>
      <c r="CE50" s="725"/>
      <c r="CF50" s="725"/>
      <c r="CG50" s="725"/>
      <c r="CH50" s="725"/>
      <c r="CI50" s="725"/>
      <c r="CJ50" s="725"/>
      <c r="CK50" s="725"/>
      <c r="CL50" s="725"/>
      <c r="CM50" s="725"/>
      <c r="CN50" s="725"/>
      <c r="CO50" s="725"/>
      <c r="CP50" s="725"/>
      <c r="CQ50" s="725"/>
      <c r="CR50" s="725"/>
    </row>
    <row r="51" spans="1:96" s="730" customFormat="1" ht="13.15">
      <c r="A51" s="825" t="s">
        <v>115</v>
      </c>
      <c r="B51" s="22" t="s">
        <v>144</v>
      </c>
      <c r="C51" s="781" t="str">
        <f>+IF('90'!C51&lt;0,$V$1,$W$1)</f>
        <v>ok</v>
      </c>
      <c r="D51" s="782" t="str">
        <f>+IF('90'!D51&lt;0,$V$1,$W$1)</f>
        <v>ok</v>
      </c>
      <c r="E51" s="781" t="str">
        <f>+IF('90'!E51&lt;0,$V$1,$W$1)</f>
        <v>ok</v>
      </c>
      <c r="F51" s="782" t="str">
        <f>+IF('90'!F51&lt;0,$V$1,$W$1)</f>
        <v>ok</v>
      </c>
      <c r="G51" s="781" t="str">
        <f>+IF('90'!G51&lt;0,$V$1,$W$1)</f>
        <v>ok</v>
      </c>
      <c r="H51" s="782" t="str">
        <f>+IF('90'!H51&lt;0,$V$1,$W$1)</f>
        <v>ok</v>
      </c>
      <c r="I51" s="781" t="str">
        <f>+IF('90'!I51&lt;0,$V$1,$W$1)</f>
        <v>ok</v>
      </c>
      <c r="J51" s="782" t="str">
        <f>+IF('90'!J51&lt;0,$V$1,$W$1)</f>
        <v>ok</v>
      </c>
      <c r="K51" s="781" t="str">
        <f>+IF('90'!K51&lt;0,$V$1,$W$1)</f>
        <v>ok</v>
      </c>
      <c r="L51" s="782" t="str">
        <f>+IF('90'!L51&lt;0,$V$1,$W$1)</f>
        <v>ok</v>
      </c>
      <c r="M51" s="781" t="str">
        <f>+IF('90'!M51&lt;0,$V$1,$W$1)</f>
        <v>ok</v>
      </c>
      <c r="N51" s="782" t="str">
        <f>+IF('90'!N51&lt;0,$V$1,$W$1)</f>
        <v>ok</v>
      </c>
      <c r="O51" s="781" t="str">
        <f>+IF('90'!O51&lt;0,$V$1,$W$1)</f>
        <v>ok</v>
      </c>
      <c r="P51" s="782" t="str">
        <f>+IF('90'!P51&lt;0,$V$1,$W$1)</f>
        <v>ok</v>
      </c>
      <c r="Q51" s="781" t="str">
        <f>+IF('90'!Q51&lt;0,$V$1,$W$1)</f>
        <v>ok</v>
      </c>
      <c r="R51" s="782" t="str">
        <f>+IF('90'!R51&lt;0,$V$1,$W$1)</f>
        <v>ok</v>
      </c>
      <c r="S51" s="781" t="str">
        <f>+IF('90'!S51&lt;0,$V$1,$W$1)</f>
        <v>ok</v>
      </c>
      <c r="T51" s="782" t="str">
        <f>+IF('90'!T51&lt;0,$V$1,$W$1)</f>
        <v>ok</v>
      </c>
      <c r="U51" s="751" t="str">
        <f>+IF('90'!U51&lt;0,$V$1,$W$1)</f>
        <v>ok</v>
      </c>
      <c r="V51" s="752" t="str">
        <f>+IF('90'!V51&lt;0,$V$1,$W$1)</f>
        <v>ok</v>
      </c>
      <c r="W51" s="753" t="str">
        <f>+IF('90'!W51&lt;0,$V$1,$W$1)</f>
        <v>ok</v>
      </c>
      <c r="X51" s="740"/>
      <c r="Y51" s="725"/>
      <c r="Z51" s="725"/>
      <c r="AA51" s="725"/>
      <c r="AB51" s="725"/>
      <c r="AC51" s="725"/>
      <c r="AD51" s="725"/>
      <c r="AE51" s="725"/>
      <c r="AF51" s="725"/>
      <c r="AG51" s="725"/>
      <c r="AH51" s="725"/>
      <c r="AI51" s="725"/>
      <c r="AJ51" s="725"/>
      <c r="AK51" s="725"/>
      <c r="AL51" s="725"/>
      <c r="AM51" s="725"/>
      <c r="AN51" s="725"/>
      <c r="AO51" s="725"/>
      <c r="AP51" s="725"/>
      <c r="AQ51" s="725"/>
      <c r="AR51" s="725"/>
      <c r="AS51" s="725"/>
      <c r="AT51" s="725"/>
      <c r="AU51" s="725"/>
      <c r="AV51" s="725"/>
      <c r="AW51" s="725"/>
      <c r="AX51" s="725"/>
      <c r="AY51" s="725"/>
      <c r="AZ51" s="725"/>
      <c r="BA51" s="725"/>
      <c r="BB51" s="725"/>
      <c r="BC51" s="725"/>
      <c r="BD51" s="725"/>
      <c r="BE51" s="725"/>
      <c r="BF51" s="725"/>
      <c r="BG51" s="725"/>
      <c r="BH51" s="725"/>
      <c r="BI51" s="725"/>
      <c r="BJ51" s="725"/>
      <c r="BK51" s="725"/>
      <c r="BL51" s="725"/>
      <c r="BM51" s="725"/>
      <c r="BN51" s="725"/>
      <c r="BO51" s="725"/>
      <c r="BP51" s="725"/>
      <c r="BQ51" s="725"/>
      <c r="BR51" s="725"/>
      <c r="BS51" s="725"/>
      <c r="BT51" s="725"/>
      <c r="BU51" s="725"/>
      <c r="BV51" s="725"/>
      <c r="BW51" s="725"/>
      <c r="BX51" s="725"/>
      <c r="BY51" s="725"/>
      <c r="BZ51" s="725"/>
      <c r="CA51" s="725"/>
      <c r="CB51" s="725"/>
      <c r="CC51" s="725"/>
      <c r="CD51" s="725"/>
      <c r="CE51" s="725"/>
      <c r="CF51" s="725"/>
      <c r="CG51" s="725"/>
      <c r="CH51" s="725"/>
      <c r="CI51" s="725"/>
      <c r="CJ51" s="725"/>
      <c r="CK51" s="725"/>
      <c r="CL51" s="725"/>
      <c r="CM51" s="725"/>
      <c r="CN51" s="725"/>
      <c r="CO51" s="725"/>
      <c r="CP51" s="725"/>
      <c r="CQ51" s="725"/>
      <c r="CR51" s="725"/>
    </row>
    <row r="52" spans="1:96" s="730" customFormat="1" ht="13.15">
      <c r="A52" s="825" t="s">
        <v>117</v>
      </c>
      <c r="B52" s="22" t="s">
        <v>145</v>
      </c>
      <c r="C52" s="781" t="str">
        <f>+IF('90'!C52&lt;0,$V$1,$W$1)</f>
        <v>ok</v>
      </c>
      <c r="D52" s="782" t="str">
        <f>+IF('90'!D52&lt;0,$V$1,$W$1)</f>
        <v>ok</v>
      </c>
      <c r="E52" s="781" t="str">
        <f>+IF('90'!E52&lt;0,$V$1,$W$1)</f>
        <v>ok</v>
      </c>
      <c r="F52" s="782" t="str">
        <f>+IF('90'!F52&lt;0,$V$1,$W$1)</f>
        <v>ok</v>
      </c>
      <c r="G52" s="781" t="str">
        <f>+IF('90'!G52&lt;0,$V$1,$W$1)</f>
        <v>ok</v>
      </c>
      <c r="H52" s="782" t="str">
        <f>+IF('90'!H52&lt;0,$V$1,$W$1)</f>
        <v>ok</v>
      </c>
      <c r="I52" s="781" t="str">
        <f>+IF('90'!I52&lt;0,$V$1,$W$1)</f>
        <v>ok</v>
      </c>
      <c r="J52" s="782" t="str">
        <f>+IF('90'!J52&lt;0,$V$1,$W$1)</f>
        <v>ok</v>
      </c>
      <c r="K52" s="781" t="str">
        <f>+IF('90'!K52&lt;0,$V$1,$W$1)</f>
        <v>ok</v>
      </c>
      <c r="L52" s="782" t="str">
        <f>+IF('90'!L52&lt;0,$V$1,$W$1)</f>
        <v>ok</v>
      </c>
      <c r="M52" s="781" t="str">
        <f>+IF('90'!M52&lt;0,$V$1,$W$1)</f>
        <v>ok</v>
      </c>
      <c r="N52" s="782" t="str">
        <f>+IF('90'!N52&lt;0,$V$1,$W$1)</f>
        <v>ok</v>
      </c>
      <c r="O52" s="781" t="str">
        <f>+IF('90'!O52&lt;0,$V$1,$W$1)</f>
        <v>ok</v>
      </c>
      <c r="P52" s="782" t="str">
        <f>+IF('90'!P52&lt;0,$V$1,$W$1)</f>
        <v>ok</v>
      </c>
      <c r="Q52" s="781" t="str">
        <f>+IF('90'!Q52&lt;0,$V$1,$W$1)</f>
        <v>ok</v>
      </c>
      <c r="R52" s="782" t="str">
        <f>+IF('90'!R52&lt;0,$V$1,$W$1)</f>
        <v>ok</v>
      </c>
      <c r="S52" s="781" t="str">
        <f>+IF('90'!S52&lt;0,$V$1,$W$1)</f>
        <v>ok</v>
      </c>
      <c r="T52" s="782" t="str">
        <f>+IF('90'!T52&lt;0,$V$1,$W$1)</f>
        <v>ok</v>
      </c>
      <c r="U52" s="751" t="str">
        <f>+IF('90'!U52&lt;0,$V$1,$W$1)</f>
        <v>ok</v>
      </c>
      <c r="V52" s="752" t="str">
        <f>+IF('90'!V52&lt;0,$V$1,$W$1)</f>
        <v>ok</v>
      </c>
      <c r="W52" s="753" t="str">
        <f>+IF('90'!W52&lt;0,$V$1,$W$1)</f>
        <v>ok</v>
      </c>
      <c r="X52" s="740"/>
      <c r="Y52" s="725"/>
      <c r="Z52" s="725"/>
      <c r="AA52" s="725"/>
      <c r="AB52" s="725"/>
      <c r="AC52" s="725"/>
      <c r="AD52" s="725"/>
      <c r="AE52" s="725"/>
      <c r="AF52" s="725"/>
      <c r="AG52" s="725"/>
      <c r="AH52" s="725"/>
      <c r="AI52" s="725"/>
      <c r="AJ52" s="725"/>
      <c r="AK52" s="725"/>
      <c r="AL52" s="725"/>
      <c r="AM52" s="725"/>
      <c r="AN52" s="725"/>
      <c r="AO52" s="725"/>
      <c r="AP52" s="725"/>
      <c r="AQ52" s="725"/>
      <c r="AR52" s="725"/>
      <c r="AS52" s="725"/>
      <c r="AT52" s="725"/>
      <c r="AU52" s="725"/>
      <c r="AV52" s="725"/>
      <c r="AW52" s="725"/>
      <c r="AX52" s="725"/>
      <c r="AY52" s="725"/>
      <c r="AZ52" s="725"/>
      <c r="BA52" s="725"/>
      <c r="BB52" s="725"/>
      <c r="BC52" s="725"/>
      <c r="BD52" s="725"/>
      <c r="BE52" s="725"/>
      <c r="BF52" s="725"/>
      <c r="BG52" s="725"/>
      <c r="BH52" s="725"/>
      <c r="BI52" s="725"/>
      <c r="BJ52" s="725"/>
      <c r="BK52" s="725"/>
      <c r="BL52" s="725"/>
      <c r="BM52" s="725"/>
      <c r="BN52" s="725"/>
      <c r="BO52" s="725"/>
      <c r="BP52" s="725"/>
      <c r="BQ52" s="725"/>
      <c r="BR52" s="725"/>
      <c r="BS52" s="725"/>
      <c r="BT52" s="725"/>
      <c r="BU52" s="725"/>
      <c r="BV52" s="725"/>
      <c r="BW52" s="725"/>
      <c r="BX52" s="725"/>
      <c r="BY52" s="725"/>
      <c r="BZ52" s="725"/>
      <c r="CA52" s="725"/>
      <c r="CB52" s="725"/>
      <c r="CC52" s="725"/>
      <c r="CD52" s="725"/>
      <c r="CE52" s="725"/>
      <c r="CF52" s="725"/>
      <c r="CG52" s="725"/>
      <c r="CH52" s="725"/>
      <c r="CI52" s="725"/>
      <c r="CJ52" s="725"/>
      <c r="CK52" s="725"/>
      <c r="CL52" s="725"/>
      <c r="CM52" s="725"/>
      <c r="CN52" s="725"/>
      <c r="CO52" s="725"/>
      <c r="CP52" s="725"/>
      <c r="CQ52" s="725"/>
      <c r="CR52" s="725"/>
    </row>
    <row r="53" spans="1:96" s="730" customFormat="1" ht="13.15">
      <c r="A53" s="825" t="s">
        <v>119</v>
      </c>
      <c r="B53" s="22" t="s">
        <v>146</v>
      </c>
      <c r="C53" s="781" t="str">
        <f>+IF('90'!C53&lt;0,$V$1,$W$1)</f>
        <v>ok</v>
      </c>
      <c r="D53" s="782" t="str">
        <f>+IF('90'!D53&lt;0,$V$1,$W$1)</f>
        <v>ok</v>
      </c>
      <c r="E53" s="781" t="str">
        <f>+IF('90'!E53&lt;0,$V$1,$W$1)</f>
        <v>ok</v>
      </c>
      <c r="F53" s="782" t="str">
        <f>+IF('90'!F53&lt;0,$V$1,$W$1)</f>
        <v>ok</v>
      </c>
      <c r="G53" s="781" t="str">
        <f>+IF('90'!G53&lt;0,$V$1,$W$1)</f>
        <v>ok</v>
      </c>
      <c r="H53" s="782" t="str">
        <f>+IF('90'!H53&lt;0,$V$1,$W$1)</f>
        <v>ok</v>
      </c>
      <c r="I53" s="781" t="str">
        <f>+IF('90'!I53&lt;0,$V$1,$W$1)</f>
        <v>ok</v>
      </c>
      <c r="J53" s="782" t="str">
        <f>+IF('90'!J53&lt;0,$V$1,$W$1)</f>
        <v>ok</v>
      </c>
      <c r="K53" s="781" t="str">
        <f>+IF('90'!K53&lt;0,$V$1,$W$1)</f>
        <v>ok</v>
      </c>
      <c r="L53" s="782" t="str">
        <f>+IF('90'!L53&lt;0,$V$1,$W$1)</f>
        <v>ok</v>
      </c>
      <c r="M53" s="781" t="str">
        <f>+IF('90'!M53&lt;0,$V$1,$W$1)</f>
        <v>ok</v>
      </c>
      <c r="N53" s="782" t="str">
        <f>+IF('90'!N53&lt;0,$V$1,$W$1)</f>
        <v>ok</v>
      </c>
      <c r="O53" s="781" t="str">
        <f>+IF('90'!O53&lt;0,$V$1,$W$1)</f>
        <v>ok</v>
      </c>
      <c r="P53" s="782" t="str">
        <f>+IF('90'!P53&lt;0,$V$1,$W$1)</f>
        <v>ok</v>
      </c>
      <c r="Q53" s="781" t="str">
        <f>+IF('90'!Q53&lt;0,$V$1,$W$1)</f>
        <v>ok</v>
      </c>
      <c r="R53" s="782" t="str">
        <f>+IF('90'!R53&lt;0,$V$1,$W$1)</f>
        <v>ok</v>
      </c>
      <c r="S53" s="781" t="str">
        <f>+IF('90'!S53&lt;0,$V$1,$W$1)</f>
        <v>ok</v>
      </c>
      <c r="T53" s="782" t="str">
        <f>+IF('90'!T53&lt;0,$V$1,$W$1)</f>
        <v>ok</v>
      </c>
      <c r="U53" s="751" t="str">
        <f>+IF('90'!U53&lt;0,$V$1,$W$1)</f>
        <v>ok</v>
      </c>
      <c r="V53" s="752" t="str">
        <f>+IF('90'!V53&lt;0,$V$1,$W$1)</f>
        <v>ok</v>
      </c>
      <c r="W53" s="753" t="str">
        <f>+IF('90'!W53&lt;0,$V$1,$W$1)</f>
        <v>ok</v>
      </c>
      <c r="X53" s="740"/>
      <c r="Y53" s="725"/>
      <c r="Z53" s="725"/>
      <c r="AA53" s="725"/>
      <c r="AB53" s="725"/>
      <c r="AC53" s="725"/>
      <c r="AD53" s="725"/>
      <c r="AE53" s="725"/>
      <c r="AF53" s="725"/>
      <c r="AG53" s="725"/>
      <c r="AH53" s="725"/>
      <c r="AI53" s="725"/>
      <c r="AJ53" s="725"/>
      <c r="AK53" s="725"/>
      <c r="AL53" s="725"/>
      <c r="AM53" s="725"/>
      <c r="AN53" s="725"/>
      <c r="AO53" s="725"/>
      <c r="AP53" s="725"/>
      <c r="AQ53" s="725"/>
      <c r="AR53" s="725"/>
      <c r="AS53" s="725"/>
      <c r="AT53" s="725"/>
      <c r="AU53" s="725"/>
      <c r="AV53" s="725"/>
      <c r="AW53" s="725"/>
      <c r="AX53" s="725"/>
      <c r="AY53" s="725"/>
      <c r="AZ53" s="725"/>
      <c r="BA53" s="725"/>
      <c r="BB53" s="725"/>
      <c r="BC53" s="725"/>
      <c r="BD53" s="725"/>
      <c r="BE53" s="725"/>
      <c r="BF53" s="725"/>
      <c r="BG53" s="725"/>
      <c r="BH53" s="725"/>
      <c r="BI53" s="725"/>
      <c r="BJ53" s="725"/>
      <c r="BK53" s="725"/>
      <c r="BL53" s="725"/>
      <c r="BM53" s="725"/>
      <c r="BN53" s="725"/>
      <c r="BO53" s="725"/>
      <c r="BP53" s="725"/>
      <c r="BQ53" s="725"/>
      <c r="BR53" s="725"/>
      <c r="BS53" s="725"/>
      <c r="BT53" s="725"/>
      <c r="BU53" s="725"/>
      <c r="BV53" s="725"/>
      <c r="BW53" s="725"/>
      <c r="BX53" s="725"/>
      <c r="BY53" s="725"/>
      <c r="BZ53" s="725"/>
      <c r="CA53" s="725"/>
      <c r="CB53" s="725"/>
      <c r="CC53" s="725"/>
      <c r="CD53" s="725"/>
      <c r="CE53" s="725"/>
      <c r="CF53" s="725"/>
      <c r="CG53" s="725"/>
      <c r="CH53" s="725"/>
      <c r="CI53" s="725"/>
      <c r="CJ53" s="725"/>
      <c r="CK53" s="725"/>
      <c r="CL53" s="725"/>
      <c r="CM53" s="725"/>
      <c r="CN53" s="725"/>
      <c r="CO53" s="725"/>
      <c r="CP53" s="725"/>
      <c r="CQ53" s="725"/>
      <c r="CR53" s="725"/>
    </row>
    <row r="54" spans="1:96" s="730" customFormat="1" ht="13.15">
      <c r="A54" s="825" t="s">
        <v>121</v>
      </c>
      <c r="B54" s="22" t="s">
        <v>147</v>
      </c>
      <c r="C54" s="781" t="str">
        <f>+IF('90'!C54&lt;0,$V$1,$W$1)</f>
        <v>ok</v>
      </c>
      <c r="D54" s="782" t="str">
        <f>+IF('90'!D54&lt;0,$V$1,$W$1)</f>
        <v>ok</v>
      </c>
      <c r="E54" s="781" t="str">
        <f>+IF('90'!E54&lt;0,$V$1,$W$1)</f>
        <v>ok</v>
      </c>
      <c r="F54" s="782" t="str">
        <f>+IF('90'!F54&lt;0,$V$1,$W$1)</f>
        <v>ok</v>
      </c>
      <c r="G54" s="781" t="str">
        <f>+IF('90'!G54&lt;0,$V$1,$W$1)</f>
        <v>ok</v>
      </c>
      <c r="H54" s="782" t="str">
        <f>+IF('90'!H54&lt;0,$V$1,$W$1)</f>
        <v>ok</v>
      </c>
      <c r="I54" s="781" t="str">
        <f>+IF('90'!I54&lt;0,$V$1,$W$1)</f>
        <v>ok</v>
      </c>
      <c r="J54" s="782" t="str">
        <f>+IF('90'!J54&lt;0,$V$1,$W$1)</f>
        <v>ok</v>
      </c>
      <c r="K54" s="781" t="str">
        <f>+IF('90'!K54&lt;0,$V$1,$W$1)</f>
        <v>ok</v>
      </c>
      <c r="L54" s="782" t="str">
        <f>+IF('90'!L54&lt;0,$V$1,$W$1)</f>
        <v>ok</v>
      </c>
      <c r="M54" s="781" t="str">
        <f>+IF('90'!M54&lt;0,$V$1,$W$1)</f>
        <v>ok</v>
      </c>
      <c r="N54" s="782" t="str">
        <f>+IF('90'!N54&lt;0,$V$1,$W$1)</f>
        <v>ok</v>
      </c>
      <c r="O54" s="781" t="str">
        <f>+IF('90'!O54&lt;0,$V$1,$W$1)</f>
        <v>ok</v>
      </c>
      <c r="P54" s="782" t="str">
        <f>+IF('90'!P54&lt;0,$V$1,$W$1)</f>
        <v>ok</v>
      </c>
      <c r="Q54" s="781" t="str">
        <f>+IF('90'!Q54&lt;0,$V$1,$W$1)</f>
        <v>ok</v>
      </c>
      <c r="R54" s="782" t="str">
        <f>+IF('90'!R54&lt;0,$V$1,$W$1)</f>
        <v>ok</v>
      </c>
      <c r="S54" s="781" t="str">
        <f>+IF('90'!S54&lt;0,$V$1,$W$1)</f>
        <v>ok</v>
      </c>
      <c r="T54" s="782" t="str">
        <f>+IF('90'!T54&lt;0,$V$1,$W$1)</f>
        <v>ok</v>
      </c>
      <c r="U54" s="751" t="str">
        <f>+IF('90'!U54&lt;0,$V$1,$W$1)</f>
        <v>ok</v>
      </c>
      <c r="V54" s="752" t="str">
        <f>+IF('90'!V54&lt;0,$V$1,$W$1)</f>
        <v>ok</v>
      </c>
      <c r="W54" s="753" t="str">
        <f>+IF('90'!W54&lt;0,$V$1,$W$1)</f>
        <v>ok</v>
      </c>
      <c r="X54" s="740"/>
      <c r="Y54" s="725"/>
      <c r="Z54" s="725"/>
      <c r="AA54" s="725"/>
      <c r="AB54" s="725"/>
      <c r="AC54" s="725"/>
      <c r="AD54" s="725"/>
      <c r="AE54" s="725"/>
      <c r="AF54" s="725"/>
      <c r="AG54" s="725"/>
      <c r="AH54" s="725"/>
      <c r="AI54" s="725"/>
      <c r="AJ54" s="725"/>
      <c r="AK54" s="725"/>
      <c r="AL54" s="725"/>
      <c r="AM54" s="725"/>
      <c r="AN54" s="725"/>
      <c r="AO54" s="725"/>
      <c r="AP54" s="725"/>
      <c r="AQ54" s="725"/>
      <c r="AR54" s="725"/>
      <c r="AS54" s="725"/>
      <c r="AT54" s="725"/>
      <c r="AU54" s="725"/>
      <c r="AV54" s="725"/>
      <c r="AW54" s="725"/>
      <c r="AX54" s="725"/>
      <c r="AY54" s="725"/>
      <c r="AZ54" s="725"/>
      <c r="BA54" s="725"/>
      <c r="BB54" s="725"/>
      <c r="BC54" s="725"/>
      <c r="BD54" s="725"/>
      <c r="BE54" s="725"/>
      <c r="BF54" s="725"/>
      <c r="BG54" s="725"/>
      <c r="BH54" s="725"/>
      <c r="BI54" s="725"/>
      <c r="BJ54" s="725"/>
      <c r="BK54" s="725"/>
      <c r="BL54" s="725"/>
      <c r="BM54" s="725"/>
      <c r="BN54" s="725"/>
      <c r="BO54" s="725"/>
      <c r="BP54" s="725"/>
      <c r="BQ54" s="725"/>
      <c r="BR54" s="725"/>
      <c r="BS54" s="725"/>
      <c r="BT54" s="725"/>
      <c r="BU54" s="725"/>
      <c r="BV54" s="725"/>
      <c r="BW54" s="725"/>
      <c r="BX54" s="725"/>
      <c r="BY54" s="725"/>
      <c r="BZ54" s="725"/>
      <c r="CA54" s="725"/>
      <c r="CB54" s="725"/>
      <c r="CC54" s="725"/>
      <c r="CD54" s="725"/>
      <c r="CE54" s="725"/>
      <c r="CF54" s="725"/>
      <c r="CG54" s="725"/>
      <c r="CH54" s="725"/>
      <c r="CI54" s="725"/>
      <c r="CJ54" s="725"/>
      <c r="CK54" s="725"/>
      <c r="CL54" s="725"/>
      <c r="CM54" s="725"/>
      <c r="CN54" s="725"/>
      <c r="CO54" s="725"/>
      <c r="CP54" s="725"/>
      <c r="CQ54" s="725"/>
      <c r="CR54" s="725"/>
    </row>
    <row r="55" spans="1:96" s="730" customFormat="1" ht="26.45">
      <c r="A55" s="547" t="s">
        <v>123</v>
      </c>
      <c r="B55" s="22" t="s">
        <v>148</v>
      </c>
      <c r="C55" s="781" t="str">
        <f>+IF('90'!C55&lt;0,$V$1,$W$1)</f>
        <v>ok</v>
      </c>
      <c r="D55" s="782" t="str">
        <f>+IF('90'!D55&lt;0,$V$1,$W$1)</f>
        <v>ok</v>
      </c>
      <c r="E55" s="781" t="str">
        <f>+IF('90'!E55&lt;0,$V$1,$W$1)</f>
        <v>ok</v>
      </c>
      <c r="F55" s="782" t="str">
        <f>+IF('90'!F55&lt;0,$V$1,$W$1)</f>
        <v>ok</v>
      </c>
      <c r="G55" s="781" t="str">
        <f>+IF('90'!G55&lt;0,$V$1,$W$1)</f>
        <v>ok</v>
      </c>
      <c r="H55" s="782" t="str">
        <f>+IF('90'!H55&lt;0,$V$1,$W$1)</f>
        <v>ok</v>
      </c>
      <c r="I55" s="781" t="str">
        <f>+IF('90'!I55&lt;0,$V$1,$W$1)</f>
        <v>ok</v>
      </c>
      <c r="J55" s="782" t="str">
        <f>+IF('90'!J55&lt;0,$V$1,$W$1)</f>
        <v>ok</v>
      </c>
      <c r="K55" s="781" t="str">
        <f>+IF('90'!K55&lt;0,$V$1,$W$1)</f>
        <v>ok</v>
      </c>
      <c r="L55" s="782" t="str">
        <f>+IF('90'!L55&lt;0,$V$1,$W$1)</f>
        <v>ok</v>
      </c>
      <c r="M55" s="781" t="str">
        <f>+IF('90'!M55&lt;0,$V$1,$W$1)</f>
        <v>ok</v>
      </c>
      <c r="N55" s="782" t="str">
        <f>+IF('90'!N55&lt;0,$V$1,$W$1)</f>
        <v>ok</v>
      </c>
      <c r="O55" s="781" t="str">
        <f>+IF('90'!O55&lt;0,$V$1,$W$1)</f>
        <v>ok</v>
      </c>
      <c r="P55" s="782" t="str">
        <f>+IF('90'!P55&lt;0,$V$1,$W$1)</f>
        <v>ok</v>
      </c>
      <c r="Q55" s="781" t="str">
        <f>+IF('90'!Q55&lt;0,$V$1,$W$1)</f>
        <v>ok</v>
      </c>
      <c r="R55" s="782" t="str">
        <f>+IF('90'!R55&lt;0,$V$1,$W$1)</f>
        <v>ok</v>
      </c>
      <c r="S55" s="781" t="str">
        <f>+IF('90'!S55&lt;0,$V$1,$W$1)</f>
        <v>ok</v>
      </c>
      <c r="T55" s="782" t="str">
        <f>+IF('90'!T55&lt;0,$V$1,$W$1)</f>
        <v>ok</v>
      </c>
      <c r="U55" s="751" t="str">
        <f>+IF('90'!U55&lt;0,$V$1,$W$1)</f>
        <v>ok</v>
      </c>
      <c r="V55" s="754" t="str">
        <f>+IF('90'!V55&lt;0,$V$1,$W$1)</f>
        <v>ok</v>
      </c>
      <c r="W55" s="754" t="str">
        <f>+IF('90'!W55&lt;0,$V$1,$W$1)</f>
        <v>ok</v>
      </c>
      <c r="X55" s="740"/>
      <c r="Y55" s="725"/>
      <c r="Z55" s="725"/>
      <c r="AA55" s="725"/>
      <c r="AB55" s="725"/>
      <c r="AC55" s="725"/>
      <c r="AD55" s="725"/>
      <c r="AE55" s="725"/>
      <c r="AF55" s="725"/>
      <c r="AG55" s="725"/>
      <c r="AH55" s="725"/>
      <c r="AI55" s="725"/>
      <c r="AJ55" s="725"/>
      <c r="AK55" s="725"/>
      <c r="AL55" s="725"/>
      <c r="AM55" s="725"/>
      <c r="AN55" s="725"/>
      <c r="AO55" s="725"/>
      <c r="AP55" s="725"/>
      <c r="AQ55" s="725"/>
      <c r="AR55" s="725"/>
      <c r="AS55" s="725"/>
      <c r="AT55" s="725"/>
      <c r="AU55" s="725"/>
      <c r="AV55" s="725"/>
      <c r="AW55" s="725"/>
      <c r="AX55" s="725"/>
      <c r="AY55" s="725"/>
      <c r="AZ55" s="725"/>
      <c r="BA55" s="725"/>
      <c r="BB55" s="725"/>
      <c r="BC55" s="725"/>
      <c r="BD55" s="725"/>
      <c r="BE55" s="725"/>
      <c r="BF55" s="725"/>
      <c r="BG55" s="725"/>
      <c r="BH55" s="725"/>
      <c r="BI55" s="725"/>
      <c r="BJ55" s="725"/>
      <c r="BK55" s="725"/>
      <c r="BL55" s="725"/>
      <c r="BM55" s="725"/>
      <c r="BN55" s="725"/>
      <c r="BO55" s="725"/>
      <c r="BP55" s="725"/>
      <c r="BQ55" s="725"/>
      <c r="BR55" s="725"/>
      <c r="BS55" s="725"/>
      <c r="BT55" s="725"/>
      <c r="BU55" s="725"/>
      <c r="BV55" s="725"/>
      <c r="BW55" s="725"/>
      <c r="BX55" s="725"/>
      <c r="BY55" s="725"/>
      <c r="BZ55" s="725"/>
      <c r="CA55" s="725"/>
      <c r="CB55" s="725"/>
      <c r="CC55" s="725"/>
      <c r="CD55" s="725"/>
      <c r="CE55" s="725"/>
      <c r="CF55" s="725"/>
      <c r="CG55" s="725"/>
      <c r="CH55" s="725"/>
      <c r="CI55" s="725"/>
      <c r="CJ55" s="725"/>
      <c r="CK55" s="725"/>
      <c r="CL55" s="725"/>
      <c r="CM55" s="725"/>
      <c r="CN55" s="725"/>
      <c r="CO55" s="725"/>
      <c r="CP55" s="725"/>
      <c r="CQ55" s="725"/>
      <c r="CR55" s="725"/>
    </row>
    <row r="56" spans="1:96" s="742" customFormat="1" ht="27" thickBot="1">
      <c r="A56" s="550" t="s">
        <v>149</v>
      </c>
      <c r="B56" s="551" t="s">
        <v>150</v>
      </c>
      <c r="C56" s="759" t="str">
        <f>+IF('90'!C56&lt;0,$V$1,$W$1)</f>
        <v>ok</v>
      </c>
      <c r="D56" s="759" t="str">
        <f>+IF('90'!D56&lt;0,$V$1,$W$1)</f>
        <v>ok</v>
      </c>
      <c r="E56" s="759" t="str">
        <f>+IF('90'!E56&lt;0,$V$1,$W$1)</f>
        <v>ok</v>
      </c>
      <c r="F56" s="759" t="str">
        <f>+IF('90'!F56&lt;0,$V$1,$W$1)</f>
        <v>ok</v>
      </c>
      <c r="G56" s="759" t="str">
        <f>+IF('90'!G56&lt;0,$V$1,$W$1)</f>
        <v>ok</v>
      </c>
      <c r="H56" s="759" t="str">
        <f>+IF('90'!H56&lt;0,$V$1,$W$1)</f>
        <v>ok</v>
      </c>
      <c r="I56" s="759" t="str">
        <f>+IF('90'!I56&lt;0,$V$1,$W$1)</f>
        <v>ok</v>
      </c>
      <c r="J56" s="759" t="str">
        <f>+IF('90'!J56&lt;0,$V$1,$W$1)</f>
        <v>ok</v>
      </c>
      <c r="K56" s="759" t="str">
        <f>+IF('90'!K56&lt;0,$V$1,$W$1)</f>
        <v>ok</v>
      </c>
      <c r="L56" s="759" t="str">
        <f>+IF('90'!L56&lt;0,$V$1,$W$1)</f>
        <v>ok</v>
      </c>
      <c r="M56" s="759" t="str">
        <f>+IF('90'!M56&lt;0,$V$1,$W$1)</f>
        <v>ok</v>
      </c>
      <c r="N56" s="759" t="str">
        <f>+IF('90'!N56&lt;0,$V$1,$W$1)</f>
        <v>ok</v>
      </c>
      <c r="O56" s="759" t="str">
        <f>+IF('90'!O56&lt;0,$V$1,$W$1)</f>
        <v>ok</v>
      </c>
      <c r="P56" s="759" t="str">
        <f>+IF('90'!P56&lt;0,$V$1,$W$1)</f>
        <v>ok</v>
      </c>
      <c r="Q56" s="759" t="str">
        <f>+IF('90'!Q56&lt;0,$V$1,$W$1)</f>
        <v>ok</v>
      </c>
      <c r="R56" s="759" t="str">
        <f>+IF('90'!R56&lt;0,$V$1,$W$1)</f>
        <v>ok</v>
      </c>
      <c r="S56" s="759" t="str">
        <f>+IF('90'!S56&lt;0,$V$1,$W$1)</f>
        <v>ok</v>
      </c>
      <c r="T56" s="759" t="str">
        <f>+IF('90'!T56&lt;0,$V$1,$W$1)</f>
        <v>ok</v>
      </c>
      <c r="U56" s="755" t="str">
        <f>+IF('90'!U56&lt;0,$V$1,$W$1)</f>
        <v>ok</v>
      </c>
      <c r="V56" s="755" t="str">
        <f>+IF('90'!V56&lt;0,$V$1,$W$1)</f>
        <v>ok</v>
      </c>
      <c r="W56" s="756" t="str">
        <f>+IF('90'!W56&lt;0,$V$1,$W$1)</f>
        <v>ok</v>
      </c>
      <c r="X56" s="741"/>
      <c r="Y56" s="726"/>
      <c r="Z56" s="726"/>
      <c r="AA56" s="726"/>
      <c r="AB56" s="726"/>
      <c r="AC56" s="726"/>
      <c r="AD56" s="726"/>
      <c r="AE56" s="726"/>
      <c r="AF56" s="726"/>
      <c r="AG56" s="726"/>
      <c r="AH56" s="726"/>
      <c r="AI56" s="726"/>
      <c r="AJ56" s="726"/>
      <c r="AK56" s="726"/>
      <c r="AL56" s="726"/>
      <c r="AM56" s="726"/>
      <c r="AN56" s="726"/>
      <c r="AO56" s="726"/>
      <c r="AP56" s="726"/>
      <c r="AQ56" s="726"/>
      <c r="AR56" s="726"/>
      <c r="AS56" s="726"/>
      <c r="AT56" s="726"/>
      <c r="AU56" s="726"/>
      <c r="AV56" s="726"/>
      <c r="AW56" s="726"/>
      <c r="AX56" s="726"/>
      <c r="AY56" s="726"/>
      <c r="AZ56" s="726"/>
      <c r="BA56" s="726"/>
      <c r="BB56" s="726"/>
      <c r="BC56" s="726"/>
      <c r="BD56" s="726"/>
      <c r="BE56" s="726"/>
      <c r="BF56" s="726"/>
      <c r="BG56" s="726"/>
      <c r="BH56" s="726"/>
      <c r="BI56" s="726"/>
      <c r="BJ56" s="726"/>
      <c r="BK56" s="726"/>
      <c r="BL56" s="726"/>
      <c r="BM56" s="726"/>
      <c r="BN56" s="726"/>
      <c r="BO56" s="726"/>
      <c r="BP56" s="726"/>
      <c r="BQ56" s="726"/>
      <c r="BR56" s="726"/>
      <c r="BS56" s="726"/>
      <c r="BT56" s="726"/>
      <c r="BU56" s="726"/>
      <c r="BV56" s="726"/>
      <c r="BW56" s="726"/>
      <c r="BX56" s="726"/>
      <c r="BY56" s="726"/>
      <c r="BZ56" s="726"/>
      <c r="CA56" s="726"/>
      <c r="CB56" s="726"/>
      <c r="CC56" s="726"/>
      <c r="CD56" s="726"/>
      <c r="CE56" s="726"/>
      <c r="CF56" s="726"/>
      <c r="CG56" s="726"/>
      <c r="CH56" s="726"/>
      <c r="CI56" s="726"/>
      <c r="CJ56" s="726"/>
      <c r="CK56" s="726"/>
      <c r="CL56" s="726"/>
      <c r="CM56" s="726"/>
      <c r="CN56" s="726"/>
      <c r="CO56" s="726"/>
      <c r="CP56" s="726"/>
      <c r="CQ56" s="726"/>
      <c r="CR56" s="726"/>
    </row>
    <row r="57" spans="1:96" ht="21.75" hidden="1" customHeight="1" thickTop="1">
      <c r="A57" s="548" t="s">
        <v>186</v>
      </c>
      <c r="B57" s="733"/>
      <c r="C57" s="775"/>
      <c r="D57" s="775"/>
      <c r="E57" s="775"/>
      <c r="F57" s="775"/>
      <c r="G57" s="775"/>
      <c r="H57" s="775"/>
      <c r="I57" s="775"/>
      <c r="J57" s="775"/>
      <c r="K57" s="775"/>
      <c r="L57" s="775"/>
      <c r="M57" s="775"/>
      <c r="N57" s="775"/>
      <c r="O57" s="775"/>
      <c r="P57" s="775"/>
      <c r="Q57" s="775"/>
      <c r="R57" s="775"/>
      <c r="S57" s="775"/>
      <c r="T57" s="775"/>
      <c r="U57" s="776"/>
      <c r="V57" s="776"/>
      <c r="W57" s="754"/>
      <c r="X57" s="743"/>
    </row>
    <row r="58" spans="1:96" s="730" customFormat="1" ht="13.15" hidden="1">
      <c r="A58" s="38" t="s">
        <v>128</v>
      </c>
      <c r="B58" s="34">
        <v>23</v>
      </c>
      <c r="C58" s="783" t="str">
        <f>+IF('90'!C58&lt;0,$V$1,$W$1)</f>
        <v>ok</v>
      </c>
      <c r="D58" s="784" t="str">
        <f>+IF('90'!D58&lt;0,$V$1,$W$1)</f>
        <v>ok</v>
      </c>
      <c r="E58" s="783" t="str">
        <f>+IF('90'!E58&lt;0,$V$1,$W$1)</f>
        <v>ok</v>
      </c>
      <c r="F58" s="784" t="str">
        <f>+IF('90'!F58&lt;0,$V$1,$W$1)</f>
        <v>ok</v>
      </c>
      <c r="G58" s="783" t="str">
        <f>+IF('90'!G58&lt;0,$V$1,$W$1)</f>
        <v>ok</v>
      </c>
      <c r="H58" s="784" t="str">
        <f>+IF('90'!H58&lt;0,$V$1,$W$1)</f>
        <v>ok</v>
      </c>
      <c r="I58" s="783" t="str">
        <f>+IF('90'!I58&lt;0,$V$1,$W$1)</f>
        <v>ok</v>
      </c>
      <c r="J58" s="784" t="str">
        <f>+IF('90'!J58&lt;0,$V$1,$W$1)</f>
        <v>ok</v>
      </c>
      <c r="K58" s="783" t="str">
        <f>+IF('90'!K58&lt;0,$V$1,$W$1)</f>
        <v>ok</v>
      </c>
      <c r="L58" s="784" t="str">
        <f>+IF('90'!L58&lt;0,$V$1,$W$1)</f>
        <v>ok</v>
      </c>
      <c r="M58" s="783" t="str">
        <f>+IF('90'!M58&lt;0,$V$1,$W$1)</f>
        <v>ok</v>
      </c>
      <c r="N58" s="784" t="str">
        <f>+IF('90'!N58&lt;0,$V$1,$W$1)</f>
        <v>ok</v>
      </c>
      <c r="O58" s="783" t="str">
        <f>+IF('90'!O58&lt;0,$V$1,$W$1)</f>
        <v>ok</v>
      </c>
      <c r="P58" s="784" t="str">
        <f>+IF('90'!P58&lt;0,$V$1,$W$1)</f>
        <v>ok</v>
      </c>
      <c r="Q58" s="784"/>
      <c r="R58" s="784"/>
      <c r="S58" s="784"/>
      <c r="T58" s="784"/>
      <c r="U58" s="753" t="str">
        <f>+IF('90'!U58&lt;0,$V$1,$W$1)</f>
        <v>ok</v>
      </c>
      <c r="V58" s="753" t="str">
        <f>+IF('90'!V58&lt;0,$V$1,$W$1)</f>
        <v>ok</v>
      </c>
      <c r="W58" s="753" t="str">
        <f>+IF('90'!W58&lt;0,$V$1,$W$1)</f>
        <v>ok</v>
      </c>
      <c r="X58" s="740"/>
      <c r="Y58" s="725"/>
      <c r="Z58" s="725"/>
      <c r="AA58" s="725"/>
      <c r="AB58" s="725"/>
      <c r="AC58" s="725"/>
      <c r="AD58" s="725"/>
      <c r="AE58" s="725"/>
      <c r="AF58" s="725"/>
      <c r="AG58" s="725"/>
      <c r="AH58" s="725"/>
      <c r="AI58" s="725"/>
      <c r="AJ58" s="725"/>
      <c r="AK58" s="725"/>
      <c r="AL58" s="725"/>
      <c r="AM58" s="725"/>
      <c r="AN58" s="725"/>
      <c r="AO58" s="725"/>
      <c r="AP58" s="725"/>
      <c r="AQ58" s="725"/>
      <c r="AR58" s="725"/>
      <c r="AS58" s="725"/>
      <c r="AT58" s="725"/>
      <c r="AU58" s="725"/>
      <c r="AV58" s="725"/>
      <c r="AW58" s="725"/>
      <c r="AX58" s="725"/>
      <c r="AY58" s="725"/>
      <c r="AZ58" s="725"/>
      <c r="BA58" s="725"/>
      <c r="BB58" s="725"/>
      <c r="BC58" s="725"/>
      <c r="BD58" s="725"/>
      <c r="BE58" s="725"/>
      <c r="BF58" s="725"/>
      <c r="BG58" s="725"/>
      <c r="BH58" s="725"/>
      <c r="BI58" s="725"/>
      <c r="BJ58" s="725"/>
      <c r="BK58" s="725"/>
      <c r="BL58" s="725"/>
      <c r="BM58" s="725"/>
      <c r="BN58" s="725"/>
      <c r="BO58" s="725"/>
      <c r="BP58" s="725"/>
      <c r="BQ58" s="725"/>
      <c r="BR58" s="725"/>
      <c r="BS58" s="725"/>
      <c r="BT58" s="725"/>
      <c r="BU58" s="725"/>
      <c r="BV58" s="725"/>
      <c r="BW58" s="725"/>
      <c r="BX58" s="725"/>
      <c r="BY58" s="725"/>
      <c r="BZ58" s="725"/>
      <c r="CA58" s="725"/>
      <c r="CB58" s="725"/>
      <c r="CC58" s="725"/>
      <c r="CD58" s="725"/>
      <c r="CE58" s="725"/>
      <c r="CF58" s="725"/>
      <c r="CG58" s="725"/>
      <c r="CH58" s="725"/>
      <c r="CI58" s="725"/>
      <c r="CJ58" s="725"/>
      <c r="CK58" s="725"/>
      <c r="CL58" s="725"/>
      <c r="CM58" s="725"/>
      <c r="CN58" s="725"/>
      <c r="CO58" s="725"/>
      <c r="CP58" s="725"/>
      <c r="CQ58" s="725"/>
      <c r="CR58" s="725"/>
    </row>
    <row r="59" spans="1:96" s="730" customFormat="1" ht="13.9" hidden="1" thickBot="1">
      <c r="A59" s="604" t="s">
        <v>130</v>
      </c>
      <c r="B59" s="605">
        <v>24</v>
      </c>
      <c r="C59" s="785" t="str">
        <f>+IF('90'!C59&lt;0,$V$1,$W$1)</f>
        <v>ok</v>
      </c>
      <c r="D59" s="786" t="str">
        <f>+IF('90'!D59&lt;0,$V$1,$W$1)</f>
        <v>ok</v>
      </c>
      <c r="E59" s="785" t="str">
        <f>+IF('90'!E59&lt;0,$V$1,$W$1)</f>
        <v>ok</v>
      </c>
      <c r="F59" s="786" t="str">
        <f>+IF('90'!F59&lt;0,$V$1,$W$1)</f>
        <v>ok</v>
      </c>
      <c r="G59" s="785" t="str">
        <f>+IF('90'!G59&lt;0,$V$1,$W$1)</f>
        <v>ok</v>
      </c>
      <c r="H59" s="786" t="str">
        <f>+IF('90'!H59&lt;0,$V$1,$W$1)</f>
        <v>ok</v>
      </c>
      <c r="I59" s="785" t="str">
        <f>+IF('90'!I59&lt;0,$V$1,$W$1)</f>
        <v>ok</v>
      </c>
      <c r="J59" s="786" t="str">
        <f>+IF('90'!J59&lt;0,$V$1,$W$1)</f>
        <v>ok</v>
      </c>
      <c r="K59" s="785" t="str">
        <f>+IF('90'!K59&lt;0,$V$1,$W$1)</f>
        <v>ok</v>
      </c>
      <c r="L59" s="786" t="str">
        <f>+IF('90'!L59&lt;0,$V$1,$W$1)</f>
        <v>ok</v>
      </c>
      <c r="M59" s="785" t="str">
        <f>+IF('90'!M59&lt;0,$V$1,$W$1)</f>
        <v>ok</v>
      </c>
      <c r="N59" s="786" t="str">
        <f>+IF('90'!N59&lt;0,$V$1,$W$1)</f>
        <v>ok</v>
      </c>
      <c r="O59" s="785" t="str">
        <f>+IF('90'!O59&lt;0,$V$1,$W$1)</f>
        <v>ok</v>
      </c>
      <c r="P59" s="786" t="str">
        <f>+IF('90'!P59&lt;0,$V$1,$W$1)</f>
        <v>ok</v>
      </c>
      <c r="Q59" s="786"/>
      <c r="R59" s="786"/>
      <c r="S59" s="786"/>
      <c r="T59" s="786"/>
      <c r="U59" s="758" t="str">
        <f>+IF('90'!U59&lt;0,$V$1,$W$1)</f>
        <v>ok</v>
      </c>
      <c r="V59" s="758" t="str">
        <f>+IF('90'!V59&lt;0,$V$1,$W$1)</f>
        <v>ok</v>
      </c>
      <c r="W59" s="758" t="str">
        <f>+IF('90'!W59&lt;0,$V$1,$W$1)</f>
        <v>ok</v>
      </c>
      <c r="X59" s="740"/>
      <c r="Y59" s="725"/>
      <c r="Z59" s="725"/>
      <c r="AA59" s="725"/>
      <c r="AB59" s="725"/>
      <c r="AC59" s="725"/>
      <c r="AD59" s="725"/>
      <c r="AE59" s="725"/>
      <c r="AF59" s="725"/>
      <c r="AG59" s="725"/>
      <c r="AH59" s="725"/>
      <c r="AI59" s="725"/>
      <c r="AJ59" s="725"/>
      <c r="AK59" s="725"/>
      <c r="AL59" s="725"/>
      <c r="AM59" s="725"/>
      <c r="AN59" s="725"/>
      <c r="AO59" s="725"/>
      <c r="AP59" s="725"/>
      <c r="AQ59" s="725"/>
      <c r="AR59" s="725"/>
      <c r="AS59" s="725"/>
      <c r="AT59" s="725"/>
      <c r="AU59" s="725"/>
      <c r="AV59" s="725"/>
      <c r="AW59" s="725"/>
      <c r="AX59" s="725"/>
      <c r="AY59" s="725"/>
      <c r="AZ59" s="725"/>
      <c r="BA59" s="725"/>
      <c r="BB59" s="725"/>
      <c r="BC59" s="725"/>
      <c r="BD59" s="725"/>
      <c r="BE59" s="725"/>
      <c r="BF59" s="725"/>
      <c r="BG59" s="725"/>
      <c r="BH59" s="725"/>
      <c r="BI59" s="725"/>
      <c r="BJ59" s="725"/>
      <c r="BK59" s="725"/>
      <c r="BL59" s="725"/>
      <c r="BM59" s="725"/>
      <c r="BN59" s="725"/>
      <c r="BO59" s="725"/>
      <c r="BP59" s="725"/>
      <c r="BQ59" s="725"/>
      <c r="BR59" s="725"/>
      <c r="BS59" s="725"/>
      <c r="BT59" s="725"/>
      <c r="BU59" s="725"/>
      <c r="BV59" s="725"/>
      <c r="BW59" s="725"/>
      <c r="BX59" s="725"/>
      <c r="BY59" s="725"/>
      <c r="BZ59" s="725"/>
      <c r="CA59" s="725"/>
      <c r="CB59" s="725"/>
      <c r="CC59" s="725"/>
      <c r="CD59" s="725"/>
      <c r="CE59" s="725"/>
      <c r="CF59" s="725"/>
      <c r="CG59" s="725"/>
      <c r="CH59" s="725"/>
      <c r="CI59" s="725"/>
      <c r="CJ59" s="725"/>
      <c r="CK59" s="725"/>
      <c r="CL59" s="725"/>
      <c r="CM59" s="725"/>
      <c r="CN59" s="725"/>
      <c r="CO59" s="725"/>
      <c r="CP59" s="725"/>
      <c r="CQ59" s="725"/>
      <c r="CR59" s="725"/>
    </row>
    <row r="60" spans="1:96" ht="18" thickTop="1">
      <c r="A60" s="548" t="s">
        <v>132</v>
      </c>
      <c r="B60" s="733"/>
      <c r="C60" s="775"/>
      <c r="D60" s="775"/>
      <c r="E60" s="775"/>
      <c r="F60" s="775"/>
      <c r="G60" s="775"/>
      <c r="H60" s="775"/>
      <c r="I60" s="775"/>
      <c r="J60" s="775"/>
      <c r="K60" s="775"/>
      <c r="L60" s="775"/>
      <c r="M60" s="775"/>
      <c r="N60" s="775"/>
      <c r="O60" s="775"/>
      <c r="P60" s="775"/>
      <c r="Q60" s="775"/>
      <c r="R60" s="775"/>
      <c r="S60" s="775"/>
      <c r="T60" s="775"/>
      <c r="U60" s="776"/>
      <c r="V60" s="776"/>
      <c r="W60" s="761"/>
    </row>
    <row r="61" spans="1:96" ht="13.15">
      <c r="A61" s="37" t="s">
        <v>133</v>
      </c>
      <c r="B61" s="736" t="s">
        <v>61</v>
      </c>
      <c r="C61" s="779"/>
      <c r="D61" s="779"/>
      <c r="E61" s="779"/>
      <c r="F61" s="779"/>
      <c r="G61" s="779"/>
      <c r="H61" s="779"/>
      <c r="I61" s="779"/>
      <c r="J61" s="779"/>
      <c r="K61" s="779"/>
      <c r="L61" s="779"/>
      <c r="M61" s="779"/>
      <c r="N61" s="779"/>
      <c r="O61" s="779"/>
      <c r="P61" s="779"/>
      <c r="Q61" s="779"/>
      <c r="R61" s="779"/>
      <c r="S61" s="779"/>
      <c r="T61" s="779"/>
      <c r="U61" s="780"/>
      <c r="V61" s="780"/>
      <c r="W61" s="751"/>
    </row>
    <row r="62" spans="1:96" s="730" customFormat="1" ht="13.15">
      <c r="A62" s="538" t="s">
        <v>134</v>
      </c>
      <c r="B62" s="22" t="s">
        <v>151</v>
      </c>
      <c r="C62" s="781" t="str">
        <f>+IF('90'!C62&lt;0,$V$1,$W$1)</f>
        <v>ok</v>
      </c>
      <c r="D62" s="782" t="str">
        <f>+IF('90'!D62&lt;0,$V$1,$W$1)</f>
        <v>ok</v>
      </c>
      <c r="E62" s="781" t="str">
        <f>+IF('90'!E62&lt;0,$V$1,$W$1)</f>
        <v>ok</v>
      </c>
      <c r="F62" s="782" t="str">
        <f>+IF('90'!F62&lt;0,$V$1,$W$1)</f>
        <v>ok</v>
      </c>
      <c r="G62" s="781" t="str">
        <f>+IF('90'!G62&lt;0,$V$1,$W$1)</f>
        <v>ok</v>
      </c>
      <c r="H62" s="782" t="str">
        <f>+IF('90'!H62&lt;0,$V$1,$W$1)</f>
        <v>ok</v>
      </c>
      <c r="I62" s="781" t="str">
        <f>+IF('90'!I62&lt;0,$V$1,$W$1)</f>
        <v>ok</v>
      </c>
      <c r="J62" s="782" t="str">
        <f>+IF('90'!J62&lt;0,$V$1,$W$1)</f>
        <v>ok</v>
      </c>
      <c r="K62" s="781" t="str">
        <f>+IF('90'!K62&lt;0,$V$1,$W$1)</f>
        <v>ok</v>
      </c>
      <c r="L62" s="782" t="str">
        <f>+IF('90'!L62&lt;0,$V$1,$W$1)</f>
        <v>ok</v>
      </c>
      <c r="M62" s="781" t="str">
        <f>+IF('90'!M62&lt;0,$V$1,$W$1)</f>
        <v>ok</v>
      </c>
      <c r="N62" s="782" t="str">
        <f>+IF('90'!N62&lt;0,$V$1,$W$1)</f>
        <v>ok</v>
      </c>
      <c r="O62" s="781" t="str">
        <f>+IF('90'!O62&lt;0,$V$1,$W$1)</f>
        <v>ok</v>
      </c>
      <c r="P62" s="782" t="str">
        <f>+IF('90'!P62&lt;0,$V$1,$W$1)</f>
        <v>ok</v>
      </c>
      <c r="Q62" s="781" t="str">
        <f>+IF('90'!Q62&lt;0,$V$1,$W$1)</f>
        <v>ok</v>
      </c>
      <c r="R62" s="782" t="str">
        <f>+IF('90'!R62&lt;0,$V$1,$W$1)</f>
        <v>ok</v>
      </c>
      <c r="S62" s="781" t="str">
        <f>+IF('90'!S62&lt;0,$V$1,$W$1)</f>
        <v>ok</v>
      </c>
      <c r="T62" s="782" t="str">
        <f>+IF('90'!T62&lt;0,$V$1,$W$1)</f>
        <v>ok</v>
      </c>
      <c r="U62" s="751" t="str">
        <f>+IF('90'!U62&lt;0,$V$1,$W$1)</f>
        <v>ok</v>
      </c>
      <c r="V62" s="752" t="str">
        <f>+IF('90'!V62&lt;0,$V$1,$W$1)</f>
        <v>ok</v>
      </c>
      <c r="W62" s="753" t="str">
        <f>+IF('90'!W62&lt;0,$V$1,$W$1)</f>
        <v>ok</v>
      </c>
      <c r="X62" s="740"/>
      <c r="Y62" s="725"/>
      <c r="Z62" s="725"/>
      <c r="AA62" s="725"/>
      <c r="AB62" s="725"/>
      <c r="AC62" s="725"/>
      <c r="AD62" s="725"/>
      <c r="AE62" s="725"/>
      <c r="AF62" s="725"/>
      <c r="AG62" s="725"/>
      <c r="AH62" s="725"/>
      <c r="AI62" s="725"/>
      <c r="AJ62" s="725"/>
      <c r="AK62" s="725"/>
      <c r="AL62" s="725"/>
      <c r="AM62" s="725"/>
      <c r="AN62" s="725"/>
      <c r="AO62" s="725"/>
      <c r="AP62" s="725"/>
      <c r="AQ62" s="725"/>
      <c r="AR62" s="725"/>
      <c r="AS62" s="725"/>
      <c r="AT62" s="725"/>
      <c r="AU62" s="725"/>
      <c r="AV62" s="725"/>
      <c r="AW62" s="725"/>
      <c r="AX62" s="725"/>
      <c r="AY62" s="725"/>
      <c r="AZ62" s="725"/>
      <c r="BA62" s="725"/>
      <c r="BB62" s="725"/>
      <c r="BC62" s="725"/>
      <c r="BD62" s="725"/>
      <c r="BE62" s="725"/>
      <c r="BF62" s="725"/>
      <c r="BG62" s="725"/>
      <c r="BH62" s="725"/>
      <c r="BI62" s="725"/>
      <c r="BJ62" s="725"/>
      <c r="BK62" s="725"/>
      <c r="BL62" s="725"/>
      <c r="BM62" s="725"/>
      <c r="BN62" s="725"/>
      <c r="BO62" s="725"/>
      <c r="BP62" s="725"/>
      <c r="BQ62" s="725"/>
      <c r="BR62" s="725"/>
      <c r="BS62" s="725"/>
      <c r="BT62" s="725"/>
      <c r="BU62" s="725"/>
      <c r="BV62" s="725"/>
      <c r="BW62" s="725"/>
      <c r="BX62" s="725"/>
      <c r="BY62" s="725"/>
      <c r="BZ62" s="725"/>
      <c r="CA62" s="725"/>
      <c r="CB62" s="725"/>
      <c r="CC62" s="725"/>
      <c r="CD62" s="725"/>
      <c r="CE62" s="725"/>
      <c r="CF62" s="725"/>
      <c r="CG62" s="725"/>
      <c r="CH62" s="725"/>
      <c r="CI62" s="725"/>
      <c r="CJ62" s="725"/>
      <c r="CK62" s="725"/>
      <c r="CL62" s="725"/>
      <c r="CM62" s="725"/>
      <c r="CN62" s="725"/>
      <c r="CO62" s="725"/>
      <c r="CP62" s="725"/>
      <c r="CQ62" s="725"/>
      <c r="CR62" s="725"/>
    </row>
    <row r="63" spans="1:96" s="730" customFormat="1" ht="13.15">
      <c r="A63" s="538" t="s">
        <v>136</v>
      </c>
      <c r="B63" s="34" t="s">
        <v>152</v>
      </c>
      <c r="C63" s="787" t="str">
        <f>+IF('90'!C63&lt;0,$V$1,$W$1)</f>
        <v>ok</v>
      </c>
      <c r="D63" s="788" t="str">
        <f>+IF('90'!D63&lt;0,$V$1,$W$1)</f>
        <v>ok</v>
      </c>
      <c r="E63" s="787" t="str">
        <f>+IF('90'!E63&lt;0,$V$1,$W$1)</f>
        <v>ok</v>
      </c>
      <c r="F63" s="788" t="str">
        <f>+IF('90'!F63&lt;0,$V$1,$W$1)</f>
        <v>ok</v>
      </c>
      <c r="G63" s="787" t="str">
        <f>+IF('90'!G63&lt;0,$V$1,$W$1)</f>
        <v>ok</v>
      </c>
      <c r="H63" s="788" t="str">
        <f>+IF('90'!H63&lt;0,$V$1,$W$1)</f>
        <v>ok</v>
      </c>
      <c r="I63" s="787" t="str">
        <f>+IF('90'!I63&lt;0,$V$1,$W$1)</f>
        <v>ok</v>
      </c>
      <c r="J63" s="788" t="str">
        <f>+IF('90'!J63&lt;0,$V$1,$W$1)</f>
        <v>ok</v>
      </c>
      <c r="K63" s="787" t="str">
        <f>+IF('90'!K63&lt;0,$V$1,$W$1)</f>
        <v>ok</v>
      </c>
      <c r="L63" s="788" t="str">
        <f>+IF('90'!L63&lt;0,$V$1,$W$1)</f>
        <v>ok</v>
      </c>
      <c r="M63" s="787" t="str">
        <f>+IF('90'!M63&lt;0,$V$1,$W$1)</f>
        <v>ok</v>
      </c>
      <c r="N63" s="788" t="str">
        <f>+IF('90'!N63&lt;0,$V$1,$W$1)</f>
        <v>ok</v>
      </c>
      <c r="O63" s="787" t="str">
        <f>+IF('90'!O63&lt;0,$V$1,$W$1)</f>
        <v>ok</v>
      </c>
      <c r="P63" s="788" t="str">
        <f>+IF('90'!P63&lt;0,$V$1,$W$1)</f>
        <v>ok</v>
      </c>
      <c r="Q63" s="787" t="str">
        <f>+IF('90'!Q63&lt;0,$V$1,$W$1)</f>
        <v>ok</v>
      </c>
      <c r="R63" s="788" t="str">
        <f>+IF('90'!R63&lt;0,$V$1,$W$1)</f>
        <v>ok</v>
      </c>
      <c r="S63" s="787" t="str">
        <f>+IF('90'!S63&lt;0,$V$1,$W$1)</f>
        <v>ok</v>
      </c>
      <c r="T63" s="788" t="str">
        <f>+IF('90'!T63&lt;0,$V$1,$W$1)</f>
        <v>ok</v>
      </c>
      <c r="U63" s="753" t="str">
        <f>+IF('90'!U63&lt;0,$V$1,$W$1)</f>
        <v>ok</v>
      </c>
      <c r="V63" s="753" t="str">
        <f>+IF('90'!V63&lt;0,$V$1,$W$1)</f>
        <v>ok</v>
      </c>
      <c r="W63" s="753" t="str">
        <f>+IF('90'!W63&lt;0,$V$1,$W$1)</f>
        <v>ok</v>
      </c>
      <c r="X63" s="740"/>
      <c r="Y63" s="725"/>
      <c r="Z63" s="725"/>
      <c r="AA63" s="725"/>
      <c r="AB63" s="725"/>
      <c r="AC63" s="725"/>
      <c r="AD63" s="725"/>
      <c r="AE63" s="725"/>
      <c r="AF63" s="725"/>
      <c r="AG63" s="725"/>
      <c r="AH63" s="725"/>
      <c r="AI63" s="725"/>
      <c r="AJ63" s="725"/>
      <c r="AK63" s="725"/>
      <c r="AL63" s="725"/>
      <c r="AM63" s="725"/>
      <c r="AN63" s="725"/>
      <c r="AO63" s="725"/>
      <c r="AP63" s="725"/>
      <c r="AQ63" s="725"/>
      <c r="AR63" s="725"/>
      <c r="AS63" s="725"/>
      <c r="AT63" s="725"/>
      <c r="AU63" s="725"/>
      <c r="AV63" s="725"/>
      <c r="AW63" s="725"/>
      <c r="AX63" s="725"/>
      <c r="AY63" s="725"/>
      <c r="AZ63" s="725"/>
      <c r="BA63" s="725"/>
      <c r="BB63" s="725"/>
      <c r="BC63" s="725"/>
      <c r="BD63" s="725"/>
      <c r="BE63" s="725"/>
      <c r="BF63" s="725"/>
      <c r="BG63" s="725"/>
      <c r="BH63" s="725"/>
      <c r="BI63" s="725"/>
      <c r="BJ63" s="725"/>
      <c r="BK63" s="725"/>
      <c r="BL63" s="725"/>
      <c r="BM63" s="725"/>
      <c r="BN63" s="725"/>
      <c r="BO63" s="725"/>
      <c r="BP63" s="725"/>
      <c r="BQ63" s="725"/>
      <c r="BR63" s="725"/>
      <c r="BS63" s="725"/>
      <c r="BT63" s="725"/>
      <c r="BU63" s="725"/>
      <c r="BV63" s="725"/>
      <c r="BW63" s="725"/>
      <c r="BX63" s="725"/>
      <c r="BY63" s="725"/>
      <c r="BZ63" s="725"/>
      <c r="CA63" s="725"/>
      <c r="CB63" s="725"/>
      <c r="CC63" s="725"/>
      <c r="CD63" s="725"/>
      <c r="CE63" s="725"/>
      <c r="CF63" s="725"/>
      <c r="CG63" s="725"/>
      <c r="CH63" s="725"/>
      <c r="CI63" s="725"/>
      <c r="CJ63" s="725"/>
      <c r="CK63" s="725"/>
      <c r="CL63" s="725"/>
      <c r="CM63" s="725"/>
      <c r="CN63" s="725"/>
      <c r="CO63" s="725"/>
      <c r="CP63" s="725"/>
      <c r="CQ63" s="725"/>
      <c r="CR63" s="725"/>
    </row>
    <row r="64" spans="1:96" s="730" customFormat="1" ht="26.45">
      <c r="A64" s="547" t="s">
        <v>137</v>
      </c>
      <c r="B64" s="22" t="s">
        <v>153</v>
      </c>
      <c r="C64" s="781" t="str">
        <f>+IF('90'!C64&lt;0,$V$1,$W$1)</f>
        <v>ok</v>
      </c>
      <c r="D64" s="782" t="str">
        <f>+IF('90'!D64&lt;0,$V$1,$W$1)</f>
        <v>ok</v>
      </c>
      <c r="E64" s="781" t="str">
        <f>+IF('90'!E64&lt;0,$V$1,$W$1)</f>
        <v>ok</v>
      </c>
      <c r="F64" s="782" t="str">
        <f>+IF('90'!F64&lt;0,$V$1,$W$1)</f>
        <v>ok</v>
      </c>
      <c r="G64" s="781" t="str">
        <f>+IF('90'!G64&lt;0,$V$1,$W$1)</f>
        <v>ok</v>
      </c>
      <c r="H64" s="782" t="str">
        <f>+IF('90'!H64&lt;0,$V$1,$W$1)</f>
        <v>ok</v>
      </c>
      <c r="I64" s="781" t="str">
        <f>+IF('90'!I64&lt;0,$V$1,$W$1)</f>
        <v>ok</v>
      </c>
      <c r="J64" s="782" t="str">
        <f>+IF('90'!J64&lt;0,$V$1,$W$1)</f>
        <v>ok</v>
      </c>
      <c r="K64" s="781" t="str">
        <f>+IF('90'!K64&lt;0,$V$1,$W$1)</f>
        <v>ok</v>
      </c>
      <c r="L64" s="782" t="str">
        <f>+IF('90'!L64&lt;0,$V$1,$W$1)</f>
        <v>ok</v>
      </c>
      <c r="M64" s="781" t="str">
        <f>+IF('90'!M64&lt;0,$V$1,$W$1)</f>
        <v>ok</v>
      </c>
      <c r="N64" s="782" t="str">
        <f>+IF('90'!N64&lt;0,$V$1,$W$1)</f>
        <v>ok</v>
      </c>
      <c r="O64" s="781" t="str">
        <f>+IF('90'!O64&lt;0,$V$1,$W$1)</f>
        <v>ok</v>
      </c>
      <c r="P64" s="782" t="str">
        <f>+IF('90'!P64&lt;0,$V$1,$W$1)</f>
        <v>ok</v>
      </c>
      <c r="Q64" s="781" t="str">
        <f>+IF('90'!Q64&lt;0,$V$1,$W$1)</f>
        <v>ok</v>
      </c>
      <c r="R64" s="782" t="str">
        <f>+IF('90'!R64&lt;0,$V$1,$W$1)</f>
        <v>ok</v>
      </c>
      <c r="S64" s="781" t="str">
        <f>+IF('90'!S64&lt;0,$V$1,$W$1)</f>
        <v>ok</v>
      </c>
      <c r="T64" s="782" t="str">
        <f>+IF('90'!T64&lt;0,$V$1,$W$1)</f>
        <v>ok</v>
      </c>
      <c r="U64" s="751" t="str">
        <f>+IF('90'!U64&lt;0,$V$1,$W$1)</f>
        <v>ok</v>
      </c>
      <c r="V64" s="751" t="str">
        <f>+IF('90'!V64&lt;0,$V$1,$W$1)</f>
        <v>ok</v>
      </c>
      <c r="W64" s="754" t="str">
        <f>+IF('90'!W64&lt;0,$V$1,$W$1)</f>
        <v>ok</v>
      </c>
      <c r="X64" s="740"/>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25"/>
      <c r="AY64" s="725"/>
      <c r="AZ64" s="725"/>
      <c r="BA64" s="725"/>
      <c r="BB64" s="725"/>
      <c r="BC64" s="725"/>
      <c r="BD64" s="725"/>
      <c r="BE64" s="725"/>
      <c r="BF64" s="725"/>
      <c r="BG64" s="725"/>
      <c r="BH64" s="725"/>
      <c r="BI64" s="725"/>
      <c r="BJ64" s="725"/>
      <c r="BK64" s="725"/>
      <c r="BL64" s="725"/>
      <c r="BM64" s="725"/>
      <c r="BN64" s="725"/>
      <c r="BO64" s="725"/>
      <c r="BP64" s="725"/>
      <c r="BQ64" s="725"/>
      <c r="BR64" s="725"/>
      <c r="BS64" s="725"/>
      <c r="BT64" s="725"/>
      <c r="BU64" s="725"/>
      <c r="BV64" s="725"/>
      <c r="BW64" s="725"/>
      <c r="BX64" s="725"/>
      <c r="BY64" s="725"/>
      <c r="BZ64" s="725"/>
      <c r="CA64" s="725"/>
      <c r="CB64" s="725"/>
      <c r="CC64" s="725"/>
      <c r="CD64" s="725"/>
      <c r="CE64" s="725"/>
      <c r="CF64" s="725"/>
      <c r="CG64" s="725"/>
      <c r="CH64" s="725"/>
      <c r="CI64" s="725"/>
      <c r="CJ64" s="725"/>
      <c r="CK64" s="725"/>
      <c r="CL64" s="725"/>
      <c r="CM64" s="725"/>
      <c r="CN64" s="725"/>
      <c r="CO64" s="725"/>
      <c r="CP64" s="725"/>
      <c r="CQ64" s="725"/>
      <c r="CR64" s="725"/>
    </row>
    <row r="65" spans="1:96" s="742" customFormat="1" ht="27.75" customHeight="1" thickBot="1">
      <c r="A65" s="637" t="s">
        <v>187</v>
      </c>
      <c r="B65" s="35" t="s">
        <v>155</v>
      </c>
      <c r="C65" s="760" t="str">
        <f>+IF('90'!C65&lt;0,$V$1,$W$1)</f>
        <v>ok</v>
      </c>
      <c r="D65" s="760" t="str">
        <f>+IF('90'!D65&lt;0,$V$1,$W$1)</f>
        <v>ok</v>
      </c>
      <c r="E65" s="760" t="str">
        <f>+IF('90'!E65&lt;0,$V$1,$W$1)</f>
        <v>ok</v>
      </c>
      <c r="F65" s="760" t="str">
        <f>+IF('90'!F65&lt;0,$V$1,$W$1)</f>
        <v>ok</v>
      </c>
      <c r="G65" s="760" t="str">
        <f>+IF('90'!G65&lt;0,$V$1,$W$1)</f>
        <v>ok</v>
      </c>
      <c r="H65" s="760" t="str">
        <f>+IF('90'!H65&lt;0,$V$1,$W$1)</f>
        <v>ok</v>
      </c>
      <c r="I65" s="760" t="str">
        <f>+IF('90'!I65&lt;0,$V$1,$W$1)</f>
        <v>ok</v>
      </c>
      <c r="J65" s="760" t="str">
        <f>+IF('90'!J65&lt;0,$V$1,$W$1)</f>
        <v>ok</v>
      </c>
      <c r="K65" s="760" t="str">
        <f>+IF('90'!K65&lt;0,$V$1,$W$1)</f>
        <v>ok</v>
      </c>
      <c r="L65" s="760" t="str">
        <f>+IF('90'!L65&lt;0,$V$1,$W$1)</f>
        <v>ok</v>
      </c>
      <c r="M65" s="760" t="str">
        <f>+IF('90'!M65&lt;0,$V$1,$W$1)</f>
        <v>ok</v>
      </c>
      <c r="N65" s="760" t="str">
        <f>+IF('90'!N65&lt;0,$V$1,$W$1)</f>
        <v>ok</v>
      </c>
      <c r="O65" s="760" t="str">
        <f>+IF('90'!O65&lt;0,$V$1,$W$1)</f>
        <v>ok</v>
      </c>
      <c r="P65" s="760" t="str">
        <f>+IF('90'!P65&lt;0,$V$1,$W$1)</f>
        <v>ok</v>
      </c>
      <c r="Q65" s="760" t="str">
        <f>+IF('90'!Q65&lt;0,$V$1,$W$1)</f>
        <v>ok</v>
      </c>
      <c r="R65" s="760" t="str">
        <f>+IF('90'!R65&lt;0,$V$1,$W$1)</f>
        <v>ok</v>
      </c>
      <c r="S65" s="760" t="str">
        <f>+IF('90'!S65&lt;0,$V$1,$W$1)</f>
        <v>ok</v>
      </c>
      <c r="T65" s="760" t="str">
        <f>+IF('90'!T65&lt;0,$V$1,$W$1)</f>
        <v>ok</v>
      </c>
      <c r="U65" s="761" t="str">
        <f>+IF('90'!U65&lt;0,$V$1,$W$1)</f>
        <v>ok</v>
      </c>
      <c r="V65" s="761" t="str">
        <f>+IF('90'!V65&lt;0,$V$1,$W$1)</f>
        <v>ok</v>
      </c>
      <c r="W65" s="762" t="str">
        <f>+IF('90'!W65&lt;0,$V$1,$W$1)</f>
        <v>ok</v>
      </c>
      <c r="X65" s="740"/>
      <c r="Y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row>
    <row r="66" spans="1:96" s="748" customFormat="1" ht="32.25" customHeight="1" thickTop="1">
      <c r="A66" s="554" t="s">
        <v>156</v>
      </c>
      <c r="B66" s="555" t="s">
        <v>157</v>
      </c>
      <c r="C66" s="763" t="str">
        <f>+IF('90'!C66&lt;0,$V$1,$W$1)</f>
        <v>ok</v>
      </c>
      <c r="D66" s="763" t="str">
        <f>+IF('90'!D66&lt;0,$V$1,$W$1)</f>
        <v>ok</v>
      </c>
      <c r="E66" s="763" t="str">
        <f>+IF('90'!E66&lt;0,$V$1,$W$1)</f>
        <v>ok</v>
      </c>
      <c r="F66" s="763" t="str">
        <f>+IF('90'!F66&lt;0,$V$1,$W$1)</f>
        <v>ok</v>
      </c>
      <c r="G66" s="763" t="str">
        <f>+IF('90'!G66&lt;0,$V$1,$W$1)</f>
        <v>ok</v>
      </c>
      <c r="H66" s="763" t="str">
        <f>+IF('90'!H66&lt;0,$V$1,$W$1)</f>
        <v>ok</v>
      </c>
      <c r="I66" s="763" t="str">
        <f>+IF('90'!I66&lt;0,$V$1,$W$1)</f>
        <v>ok</v>
      </c>
      <c r="J66" s="763" t="str">
        <f>+IF('90'!J66&lt;0,$V$1,$W$1)</f>
        <v>ok</v>
      </c>
      <c r="K66" s="763" t="str">
        <f>+IF('90'!K66&lt;0,$V$1,$W$1)</f>
        <v>ok</v>
      </c>
      <c r="L66" s="763" t="str">
        <f>+IF('90'!L66&lt;0,$V$1,$W$1)</f>
        <v>ok</v>
      </c>
      <c r="M66" s="763" t="str">
        <f>+IF('90'!M66&lt;0,$V$1,$W$1)</f>
        <v>ok</v>
      </c>
      <c r="N66" s="763" t="str">
        <f>+IF('90'!N66&lt;0,$V$1,$W$1)</f>
        <v>ok</v>
      </c>
      <c r="O66" s="763" t="str">
        <f>+IF('90'!O66&lt;0,$V$1,$W$1)</f>
        <v>ok</v>
      </c>
      <c r="P66" s="763" t="str">
        <f>+IF('90'!P66&lt;0,$V$1,$W$1)</f>
        <v>ok</v>
      </c>
      <c r="Q66" s="763" t="str">
        <f>+IF('90'!Q66&lt;0,$V$1,$W$1)</f>
        <v>ok</v>
      </c>
      <c r="R66" s="763" t="str">
        <f>+IF('90'!R66&lt;0,$V$1,$W$1)</f>
        <v>ok</v>
      </c>
      <c r="S66" s="763" t="str">
        <f>+IF('90'!S66&lt;0,$V$1,$W$1)</f>
        <v>ok</v>
      </c>
      <c r="T66" s="763" t="str">
        <f>+IF('90'!T66&lt;0,$V$1,$W$1)</f>
        <v>ok</v>
      </c>
      <c r="U66" s="763" t="str">
        <f>+IF('90'!U66&lt;0,$V$1,$W$1)</f>
        <v>ok</v>
      </c>
      <c r="V66" s="763" t="str">
        <f>+IF('90'!V66&lt;0,$V$1,$W$1)</f>
        <v>ok</v>
      </c>
      <c r="W66" s="764" t="str">
        <f>+IF('90'!W66&lt;0,$V$1,$W$1)</f>
        <v>ok</v>
      </c>
      <c r="X66" s="740"/>
    </row>
    <row r="67" spans="1:96" ht="24.75" customHeight="1">
      <c r="O67"/>
      <c r="P67"/>
      <c r="Q67"/>
      <c r="R67"/>
      <c r="S67"/>
      <c r="T67"/>
      <c r="U67"/>
      <c r="V67"/>
      <c r="W67"/>
      <c r="X67"/>
    </row>
    <row r="68" spans="1:96" ht="15.6">
      <c r="O68"/>
      <c r="P68"/>
      <c r="Q68"/>
      <c r="R68"/>
      <c r="S68"/>
      <c r="T68"/>
      <c r="U68"/>
      <c r="V68"/>
      <c r="W68"/>
      <c r="X68"/>
    </row>
    <row r="69" spans="1:96" ht="15.6">
      <c r="O69"/>
      <c r="P69"/>
      <c r="Q69"/>
      <c r="R69"/>
      <c r="S69"/>
      <c r="T69"/>
      <c r="U69"/>
      <c r="V69"/>
      <c r="W69"/>
      <c r="X69"/>
    </row>
    <row r="70" spans="1:96" ht="15.6">
      <c r="O70"/>
      <c r="P70"/>
      <c r="Q70"/>
      <c r="R70"/>
      <c r="S70"/>
      <c r="T70"/>
      <c r="U70"/>
      <c r="V70"/>
      <c r="W70"/>
      <c r="X70"/>
    </row>
    <row r="71" spans="1:96" ht="15.6">
      <c r="O71"/>
      <c r="P71"/>
      <c r="Q71"/>
      <c r="R71"/>
      <c r="S71"/>
      <c r="T71"/>
      <c r="U71"/>
      <c r="V71"/>
      <c r="W71"/>
      <c r="X71"/>
    </row>
    <row r="72" spans="1:96" ht="15.6">
      <c r="O72"/>
      <c r="P72"/>
      <c r="Q72"/>
      <c r="R72"/>
      <c r="S72"/>
      <c r="T72"/>
      <c r="U72"/>
      <c r="V72"/>
      <c r="W72"/>
      <c r="X72"/>
    </row>
    <row r="73" spans="1:96" ht="15.6">
      <c r="O73"/>
      <c r="P73"/>
      <c r="Q73"/>
      <c r="R73"/>
      <c r="S73"/>
      <c r="T73"/>
      <c r="U73"/>
      <c r="V73"/>
      <c r="W73"/>
      <c r="X73"/>
    </row>
  </sheetData>
  <mergeCells count="65">
    <mergeCell ref="C42:D42"/>
    <mergeCell ref="E42:F42"/>
    <mergeCell ref="G42:H42"/>
    <mergeCell ref="I42:J42"/>
    <mergeCell ref="S42:T42"/>
    <mergeCell ref="K42:L42"/>
    <mergeCell ref="M42:N42"/>
    <mergeCell ref="O42:P42"/>
    <mergeCell ref="Q42:R42"/>
    <mergeCell ref="O40:P40"/>
    <mergeCell ref="Q40:R40"/>
    <mergeCell ref="S40:T40"/>
    <mergeCell ref="M41:N41"/>
    <mergeCell ref="O41:P41"/>
    <mergeCell ref="Q41:R41"/>
    <mergeCell ref="S41:T41"/>
    <mergeCell ref="O11:P11"/>
    <mergeCell ref="Q11:R11"/>
    <mergeCell ref="S11:T11"/>
    <mergeCell ref="C12:D12"/>
    <mergeCell ref="E12:F12"/>
    <mergeCell ref="G12:H12"/>
    <mergeCell ref="I12:J12"/>
    <mergeCell ref="K12:L12"/>
    <mergeCell ref="M12:N12"/>
    <mergeCell ref="O12:P12"/>
    <mergeCell ref="Q12:R12"/>
    <mergeCell ref="S12:T12"/>
    <mergeCell ref="E11:F11"/>
    <mergeCell ref="G11:H11"/>
    <mergeCell ref="I11:J11"/>
    <mergeCell ref="K11:L11"/>
    <mergeCell ref="M11:N11"/>
    <mergeCell ref="A50:W50"/>
    <mergeCell ref="A20:W20"/>
    <mergeCell ref="A40:A41"/>
    <mergeCell ref="A42:A43"/>
    <mergeCell ref="A45:W45"/>
    <mergeCell ref="C41:D41"/>
    <mergeCell ref="E41:F41"/>
    <mergeCell ref="G41:H41"/>
    <mergeCell ref="I41:J41"/>
    <mergeCell ref="K41:L41"/>
    <mergeCell ref="C40:D40"/>
    <mergeCell ref="E40:F40"/>
    <mergeCell ref="G40:H40"/>
    <mergeCell ref="I40:J40"/>
    <mergeCell ref="K40:L40"/>
    <mergeCell ref="M40:N40"/>
    <mergeCell ref="N5:P5"/>
    <mergeCell ref="A15:W15"/>
    <mergeCell ref="A10:A11"/>
    <mergeCell ref="A12:A13"/>
    <mergeCell ref="C7:C8"/>
    <mergeCell ref="D7:J8"/>
    <mergeCell ref="C10:D10"/>
    <mergeCell ref="E10:F10"/>
    <mergeCell ref="G10:H10"/>
    <mergeCell ref="I10:J10"/>
    <mergeCell ref="K10:L10"/>
    <mergeCell ref="M10:N10"/>
    <mergeCell ref="O10:P10"/>
    <mergeCell ref="Q10:R10"/>
    <mergeCell ref="S10:T10"/>
    <mergeCell ref="C11:D11"/>
  </mergeCells>
  <phoneticPr fontId="54" type="noConversion"/>
  <pageMargins left="0.47" right="0.35" top="0.48" bottom="0.38" header="0" footer="0.25"/>
  <pageSetup scale="96" fitToHeight="2" orientation="landscape" horizontalDpi="4294967292" verticalDpi="300" r:id="rId1"/>
  <headerFooter alignWithMargins="0">
    <oddFooter>Page &amp;P of &amp;N</oddFooter>
  </headerFooter>
  <rowBreaks count="1" manualBreakCount="1">
    <brk id="35"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CH263"/>
  <sheetViews>
    <sheetView showGridLines="0" showZeros="0" defaultGridColor="0" colorId="8" zoomScaleNormal="100" workbookViewId="0">
      <selection activeCell="A2" sqref="A2"/>
    </sheetView>
  </sheetViews>
  <sheetFormatPr defaultColWidth="0" defaultRowHeight="0" customHeight="1" zeroHeight="1"/>
  <cols>
    <col min="1" max="1" width="13.625" style="85" customWidth="1"/>
    <col min="2" max="2" width="4" style="134" customWidth="1"/>
    <col min="3" max="6" width="5.625" style="108" customWidth="1"/>
    <col min="7" max="8" width="5.625" style="108" hidden="1" customWidth="1"/>
    <col min="9" max="10" width="5.625" style="108" customWidth="1"/>
    <col min="11" max="12" width="7.625" style="108" customWidth="1"/>
    <col min="13" max="13" width="2.375" style="73" customWidth="1"/>
    <col min="14" max="43" width="6.625" style="85" hidden="1" customWidth="1"/>
    <col min="44" max="16384" width="0" style="85" hidden="1"/>
  </cols>
  <sheetData>
    <row r="1" spans="1:86" s="74" customFormat="1" ht="27.6">
      <c r="A1" s="816" t="str">
        <f>+'99'!A1</f>
        <v>FALL ENROLLMENT 2021</v>
      </c>
      <c r="B1" s="72"/>
      <c r="C1" s="72"/>
      <c r="D1" s="72"/>
      <c r="E1" s="72"/>
      <c r="F1" s="72"/>
      <c r="G1" s="72"/>
      <c r="H1" s="72"/>
      <c r="I1" s="72"/>
      <c r="J1" s="72"/>
      <c r="K1" s="72"/>
      <c r="M1" s="203">
        <f>IF(COUNT(C16:J28,C34:J46)&gt;0,1,0)</f>
        <v>1</v>
      </c>
    </row>
    <row r="2" spans="1:86" s="74" customFormat="1" ht="27.6">
      <c r="A2" s="816" t="s">
        <v>194</v>
      </c>
      <c r="B2" s="72"/>
      <c r="C2" s="72"/>
      <c r="D2" s="72"/>
      <c r="E2" s="72"/>
      <c r="F2" s="72"/>
      <c r="G2" s="72"/>
      <c r="H2" s="72"/>
      <c r="I2" s="72"/>
      <c r="J2" s="72"/>
      <c r="K2" s="72"/>
      <c r="M2" s="203"/>
    </row>
    <row r="3" spans="1:86" s="74" customFormat="1" ht="15.75" customHeight="1">
      <c r="A3" s="534" t="str">
        <f>+'99'!A2</f>
        <v>2122</v>
      </c>
      <c r="B3" s="72"/>
      <c r="C3" s="72"/>
      <c r="D3" s="72"/>
      <c r="E3" s="72"/>
      <c r="F3" s="72"/>
      <c r="G3" s="72"/>
      <c r="H3" s="72"/>
      <c r="I3" s="72"/>
      <c r="J3" s="72"/>
      <c r="K3" s="72"/>
      <c r="L3" s="72"/>
      <c r="M3" s="203">
        <f>COUNTIF(C32:L32,"=ERROR")+COUNTIF(C50:L50,"=ERROR")+COUNTIF(K53,"=ERROR")+COUNTIF(L53,"=ERROR")</f>
        <v>0</v>
      </c>
    </row>
    <row r="4" spans="1:86" s="74" customFormat="1" ht="14.1" customHeight="1" thickBot="1">
      <c r="A4" s="75" t="str">
        <f>'99'!A3</f>
        <v>Western Connecticut State University</v>
      </c>
      <c r="B4" s="162"/>
      <c r="C4" s="163" t="s">
        <v>61</v>
      </c>
      <c r="E4" s="72"/>
      <c r="F4" s="77"/>
      <c r="G4" s="77" t="s">
        <v>195</v>
      </c>
      <c r="H4" s="78" t="str">
        <f>'99'!N3</f>
        <v>Jerry Wilcox</v>
      </c>
      <c r="I4" s="79" t="s">
        <v>14</v>
      </c>
      <c r="J4" s="80"/>
      <c r="K4" s="79"/>
      <c r="M4" s="73"/>
    </row>
    <row r="5" spans="1:86" s="74" customFormat="1" ht="14.1" customHeight="1" thickBot="1">
      <c r="A5" s="81">
        <f>'99'!A4</f>
        <v>130776</v>
      </c>
      <c r="B5" s="162"/>
      <c r="C5" s="163"/>
      <c r="E5" s="82"/>
      <c r="F5" s="77"/>
      <c r="G5" s="77" t="s">
        <v>196</v>
      </c>
      <c r="H5" s="78" t="str">
        <f>'99'!N4</f>
        <v>Director, Institutional Research and Assessment</v>
      </c>
      <c r="I5" s="79"/>
      <c r="J5" s="80"/>
      <c r="K5" s="79"/>
      <c r="M5" s="73"/>
    </row>
    <row r="6" spans="1:86" s="74" customFormat="1" ht="14.1" customHeight="1" thickBot="1">
      <c r="A6" s="76" t="str">
        <f>'99'!A5</f>
        <v>Danbury</v>
      </c>
      <c r="B6" s="162"/>
      <c r="C6" s="163"/>
      <c r="E6" s="82"/>
      <c r="F6" s="77"/>
      <c r="G6" s="77" t="s">
        <v>197</v>
      </c>
      <c r="H6" s="1041" t="str">
        <f>'99'!N5</f>
        <v>203-837-8242</v>
      </c>
      <c r="I6" s="1159"/>
      <c r="J6" s="1152"/>
      <c r="K6" s="79"/>
      <c r="M6" s="73"/>
    </row>
    <row r="7" spans="1:86" s="89" customFormat="1" ht="12" customHeight="1">
      <c r="A7" s="86" t="s">
        <v>61</v>
      </c>
      <c r="B7" s="87"/>
      <c r="C7" s="88"/>
      <c r="D7" s="88"/>
      <c r="E7" s="88"/>
      <c r="F7" s="88"/>
      <c r="G7" s="88"/>
      <c r="H7" s="88"/>
      <c r="I7" s="88"/>
      <c r="J7" s="88"/>
      <c r="K7" s="88"/>
      <c r="L7" s="88"/>
      <c r="M7" s="73"/>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row>
    <row r="8" spans="1:86" s="92" customFormat="1" ht="12" customHeight="1">
      <c r="A8" s="164" t="s">
        <v>61</v>
      </c>
      <c r="B8" s="165"/>
      <c r="C8" s="148" t="s">
        <v>198</v>
      </c>
      <c r="D8" s="90"/>
      <c r="E8" s="90"/>
      <c r="F8" s="90"/>
      <c r="G8" s="90"/>
      <c r="H8" s="90"/>
      <c r="I8" s="90"/>
      <c r="J8" s="90"/>
      <c r="K8" s="90"/>
      <c r="L8" s="91"/>
      <c r="M8" s="73"/>
    </row>
    <row r="9" spans="1:86" s="92" customFormat="1" ht="12" customHeight="1">
      <c r="A9" s="164"/>
      <c r="B9" s="165"/>
      <c r="C9" s="148" t="s">
        <v>199</v>
      </c>
      <c r="D9" s="149"/>
      <c r="E9" s="149"/>
      <c r="F9" s="150"/>
      <c r="G9" s="93" t="s">
        <v>61</v>
      </c>
      <c r="H9" s="94"/>
      <c r="I9" s="93" t="s">
        <v>61</v>
      </c>
      <c r="J9" s="94"/>
      <c r="K9" s="93" t="s">
        <v>61</v>
      </c>
      <c r="L9" s="94"/>
      <c r="M9" s="73"/>
    </row>
    <row r="10" spans="1:86" s="92" customFormat="1" ht="12" customHeight="1">
      <c r="A10" s="164"/>
      <c r="B10" s="165"/>
      <c r="C10" s="93"/>
      <c r="D10" s="94"/>
      <c r="E10" s="95"/>
      <c r="F10" s="95"/>
      <c r="G10" s="151" t="s">
        <v>200</v>
      </c>
      <c r="H10" s="97"/>
      <c r="I10" s="151" t="s">
        <v>201</v>
      </c>
      <c r="J10" s="97"/>
      <c r="K10" s="96" t="s">
        <v>61</v>
      </c>
      <c r="L10" s="97"/>
      <c r="M10" s="73"/>
    </row>
    <row r="11" spans="1:86" s="92" customFormat="1" ht="12" customHeight="1">
      <c r="A11" s="166" t="s">
        <v>61</v>
      </c>
      <c r="B11" s="165"/>
      <c r="C11" s="151" t="s">
        <v>202</v>
      </c>
      <c r="D11" s="97"/>
      <c r="E11" s="153" t="s">
        <v>203</v>
      </c>
      <c r="F11" s="95"/>
      <c r="G11" s="151" t="s">
        <v>204</v>
      </c>
      <c r="H11" s="97"/>
      <c r="I11" s="151" t="s">
        <v>205</v>
      </c>
      <c r="J11" s="97"/>
      <c r="K11" s="151" t="s">
        <v>71</v>
      </c>
      <c r="L11" s="97"/>
      <c r="M11" s="73"/>
    </row>
    <row r="12" spans="1:86" s="100" customFormat="1" ht="12" customHeight="1">
      <c r="A12" s="167" t="s">
        <v>61</v>
      </c>
      <c r="B12" s="168"/>
      <c r="C12" s="152" t="s">
        <v>206</v>
      </c>
      <c r="D12" s="98"/>
      <c r="E12" s="154" t="s">
        <v>206</v>
      </c>
      <c r="F12" s="99"/>
      <c r="G12" s="152" t="s">
        <v>205</v>
      </c>
      <c r="H12" s="98"/>
      <c r="I12" s="1042" t="s">
        <v>207</v>
      </c>
      <c r="J12" s="1043"/>
      <c r="K12" s="152" t="s">
        <v>79</v>
      </c>
      <c r="L12" s="98"/>
      <c r="M12" s="73"/>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row>
    <row r="13" spans="1:86" ht="13.5" customHeight="1">
      <c r="A13" s="101" t="s">
        <v>61</v>
      </c>
      <c r="B13" s="102" t="s">
        <v>80</v>
      </c>
      <c r="C13" s="103" t="s">
        <v>81</v>
      </c>
      <c r="D13" s="103" t="s">
        <v>82</v>
      </c>
      <c r="E13" s="103" t="s">
        <v>81</v>
      </c>
      <c r="F13" s="103" t="s">
        <v>82</v>
      </c>
      <c r="G13" s="103" t="s">
        <v>81</v>
      </c>
      <c r="H13" s="103" t="s">
        <v>82</v>
      </c>
      <c r="I13" s="103" t="s">
        <v>81</v>
      </c>
      <c r="J13" s="103" t="s">
        <v>82</v>
      </c>
      <c r="K13" s="103" t="s">
        <v>81</v>
      </c>
      <c r="L13" s="103" t="s">
        <v>82</v>
      </c>
    </row>
    <row r="14" spans="1:86" s="89" customFormat="1" ht="12" customHeight="1">
      <c r="A14" s="104"/>
      <c r="B14" s="105" t="s">
        <v>85</v>
      </c>
      <c r="C14" s="106" t="s">
        <v>86</v>
      </c>
      <c r="D14" s="106" t="s">
        <v>87</v>
      </c>
      <c r="E14" s="106" t="s">
        <v>88</v>
      </c>
      <c r="F14" s="106" t="s">
        <v>89</v>
      </c>
      <c r="G14" s="106" t="s">
        <v>90</v>
      </c>
      <c r="H14" s="106" t="s">
        <v>91</v>
      </c>
      <c r="I14" s="106" t="s">
        <v>92</v>
      </c>
      <c r="J14" s="106" t="s">
        <v>93</v>
      </c>
      <c r="K14" s="106" t="s">
        <v>94</v>
      </c>
      <c r="L14" s="106" t="s">
        <v>95</v>
      </c>
      <c r="M14" s="73"/>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row>
    <row r="15" spans="1:86" ht="15.6">
      <c r="A15" s="138" t="s">
        <v>208</v>
      </c>
      <c r="B15" s="135"/>
      <c r="C15" s="136"/>
      <c r="D15" s="136"/>
      <c r="E15" s="136"/>
      <c r="F15" s="136"/>
      <c r="G15" s="136"/>
      <c r="H15" s="136"/>
      <c r="I15" s="136"/>
      <c r="J15" s="136"/>
      <c r="K15" s="136"/>
      <c r="L15" s="137"/>
    </row>
    <row r="16" spans="1:86" s="89" customFormat="1" ht="12" customHeight="1">
      <c r="A16" s="104" t="s">
        <v>209</v>
      </c>
      <c r="B16" s="109" t="s">
        <v>111</v>
      </c>
      <c r="C16" s="155">
        <v>56</v>
      </c>
      <c r="D16" s="156">
        <v>77</v>
      </c>
      <c r="E16" s="155"/>
      <c r="F16" s="156"/>
      <c r="G16" s="155"/>
      <c r="H16" s="156"/>
      <c r="I16" s="155">
        <v>0</v>
      </c>
      <c r="J16" s="156"/>
      <c r="K16" s="160">
        <f t="shared" ref="K16:K27" si="0">C16+E16+G16+I16</f>
        <v>56</v>
      </c>
      <c r="L16" s="160">
        <f t="shared" ref="L16:L27" si="1">D16+F16+H16+J16</f>
        <v>77</v>
      </c>
      <c r="M16" s="73"/>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row>
    <row r="17" spans="1:86" s="89" customFormat="1" ht="12" customHeight="1">
      <c r="A17" s="104" t="s">
        <v>210</v>
      </c>
      <c r="B17" s="109" t="s">
        <v>113</v>
      </c>
      <c r="C17" s="155">
        <v>565</v>
      </c>
      <c r="D17" s="156">
        <v>618</v>
      </c>
      <c r="E17" s="155"/>
      <c r="F17" s="156"/>
      <c r="G17" s="155"/>
      <c r="H17" s="156"/>
      <c r="I17" s="155">
        <v>0</v>
      </c>
      <c r="J17" s="156"/>
      <c r="K17" s="160">
        <f t="shared" si="0"/>
        <v>565</v>
      </c>
      <c r="L17" s="160">
        <f t="shared" si="1"/>
        <v>618</v>
      </c>
      <c r="M17" s="73"/>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row>
    <row r="18" spans="1:86" s="89" customFormat="1" ht="12" customHeight="1">
      <c r="A18" s="104" t="s">
        <v>211</v>
      </c>
      <c r="B18" s="109" t="s">
        <v>116</v>
      </c>
      <c r="C18" s="155">
        <v>597</v>
      </c>
      <c r="D18" s="156">
        <v>693</v>
      </c>
      <c r="E18" s="155"/>
      <c r="F18" s="156"/>
      <c r="G18" s="155"/>
      <c r="H18" s="156"/>
      <c r="I18" s="155">
        <v>0</v>
      </c>
      <c r="J18" s="156">
        <v>4</v>
      </c>
      <c r="K18" s="160">
        <f t="shared" si="0"/>
        <v>597</v>
      </c>
      <c r="L18" s="160">
        <f t="shared" si="1"/>
        <v>697</v>
      </c>
      <c r="M18" s="73"/>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row>
    <row r="19" spans="1:86" s="89" customFormat="1" ht="12" customHeight="1">
      <c r="A19" s="104" t="s">
        <v>212</v>
      </c>
      <c r="B19" s="109" t="s">
        <v>118</v>
      </c>
      <c r="C19" s="155">
        <v>294</v>
      </c>
      <c r="D19" s="156">
        <v>242</v>
      </c>
      <c r="E19" s="155"/>
      <c r="F19" s="156"/>
      <c r="G19" s="155"/>
      <c r="H19" s="156"/>
      <c r="I19" s="155">
        <v>8</v>
      </c>
      <c r="J19" s="156">
        <v>18</v>
      </c>
      <c r="K19" s="160">
        <f t="shared" si="0"/>
        <v>302</v>
      </c>
      <c r="L19" s="160">
        <f t="shared" si="1"/>
        <v>260</v>
      </c>
      <c r="M19" s="73"/>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row>
    <row r="20" spans="1:86" s="89" customFormat="1" ht="12" customHeight="1" thickBot="1">
      <c r="A20" s="206" t="s">
        <v>213</v>
      </c>
      <c r="B20" s="118" t="s">
        <v>120</v>
      </c>
      <c r="C20" s="207">
        <v>92</v>
      </c>
      <c r="D20" s="208">
        <v>85</v>
      </c>
      <c r="E20" s="207"/>
      <c r="F20" s="208"/>
      <c r="G20" s="207"/>
      <c r="H20" s="208"/>
      <c r="I20" s="207">
        <v>4</v>
      </c>
      <c r="J20" s="208">
        <v>13</v>
      </c>
      <c r="K20" s="159">
        <f t="shared" si="0"/>
        <v>96</v>
      </c>
      <c r="L20" s="159">
        <f t="shared" si="1"/>
        <v>98</v>
      </c>
      <c r="M20" s="73"/>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row>
    <row r="21" spans="1:86" s="89" customFormat="1" ht="12" customHeight="1">
      <c r="A21" s="209" t="s">
        <v>214</v>
      </c>
      <c r="B21" s="210" t="s">
        <v>122</v>
      </c>
      <c r="C21" s="211">
        <v>33</v>
      </c>
      <c r="D21" s="212">
        <v>34</v>
      </c>
      <c r="E21" s="211"/>
      <c r="F21" s="212"/>
      <c r="G21" s="211"/>
      <c r="H21" s="212"/>
      <c r="I21" s="211">
        <v>6</v>
      </c>
      <c r="J21" s="212">
        <v>5</v>
      </c>
      <c r="K21" s="213">
        <f t="shared" si="0"/>
        <v>39</v>
      </c>
      <c r="L21" s="213">
        <f t="shared" si="1"/>
        <v>39</v>
      </c>
      <c r="M21" s="73"/>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row>
    <row r="22" spans="1:86" s="89" customFormat="1" ht="12" customHeight="1">
      <c r="A22" s="104" t="s">
        <v>215</v>
      </c>
      <c r="B22" s="109" t="s">
        <v>124</v>
      </c>
      <c r="C22" s="155">
        <v>6</v>
      </c>
      <c r="D22" s="156">
        <v>11</v>
      </c>
      <c r="E22" s="155"/>
      <c r="F22" s="156"/>
      <c r="G22" s="155"/>
      <c r="H22" s="156"/>
      <c r="I22" s="155">
        <v>1</v>
      </c>
      <c r="J22" s="156">
        <v>6</v>
      </c>
      <c r="K22" s="160">
        <f t="shared" si="0"/>
        <v>7</v>
      </c>
      <c r="L22" s="160">
        <f t="shared" si="1"/>
        <v>17</v>
      </c>
      <c r="M22" s="73"/>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row>
    <row r="23" spans="1:86" s="89" customFormat="1" ht="12" customHeight="1">
      <c r="A23" s="104" t="s">
        <v>216</v>
      </c>
      <c r="B23" s="109" t="s">
        <v>126</v>
      </c>
      <c r="C23" s="155">
        <v>4</v>
      </c>
      <c r="D23" s="156">
        <v>15</v>
      </c>
      <c r="E23" s="155"/>
      <c r="F23" s="156"/>
      <c r="G23" s="155"/>
      <c r="H23" s="156"/>
      <c r="I23" s="155">
        <v>0</v>
      </c>
      <c r="J23" s="156">
        <v>3</v>
      </c>
      <c r="K23" s="160">
        <f t="shared" si="0"/>
        <v>4</v>
      </c>
      <c r="L23" s="160">
        <f t="shared" si="1"/>
        <v>18</v>
      </c>
      <c r="M23" s="73"/>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row>
    <row r="24" spans="1:86" s="89" customFormat="1" ht="12" customHeight="1" thickBot="1">
      <c r="A24" s="214" t="s">
        <v>217</v>
      </c>
      <c r="B24" s="215" t="s">
        <v>129</v>
      </c>
      <c r="C24" s="216">
        <v>1</v>
      </c>
      <c r="D24" s="217">
        <v>5</v>
      </c>
      <c r="E24" s="216"/>
      <c r="F24" s="217"/>
      <c r="G24" s="216"/>
      <c r="H24" s="217"/>
      <c r="I24" s="216">
        <v>0</v>
      </c>
      <c r="J24" s="217">
        <v>1</v>
      </c>
      <c r="K24" s="218">
        <f t="shared" si="0"/>
        <v>1</v>
      </c>
      <c r="L24" s="218">
        <f t="shared" si="1"/>
        <v>6</v>
      </c>
      <c r="M24" s="73"/>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row>
    <row r="25" spans="1:86" s="89" customFormat="1" ht="12" customHeight="1">
      <c r="A25" s="104" t="s">
        <v>218</v>
      </c>
      <c r="B25" s="109" t="s">
        <v>131</v>
      </c>
      <c r="C25" s="155">
        <v>2</v>
      </c>
      <c r="D25" s="156">
        <v>8</v>
      </c>
      <c r="E25" s="157"/>
      <c r="F25" s="156"/>
      <c r="G25" s="155"/>
      <c r="H25" s="156"/>
      <c r="I25" s="155">
        <v>3</v>
      </c>
      <c r="J25" s="156">
        <v>5</v>
      </c>
      <c r="K25" s="160">
        <f t="shared" si="0"/>
        <v>5</v>
      </c>
      <c r="L25" s="160">
        <f t="shared" si="1"/>
        <v>13</v>
      </c>
      <c r="M25" s="73"/>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row>
    <row r="26" spans="1:86" s="89" customFormat="1" ht="12" customHeight="1">
      <c r="A26" s="110" t="s">
        <v>219</v>
      </c>
      <c r="B26" s="109" t="s">
        <v>135</v>
      </c>
      <c r="C26" s="155">
        <v>1</v>
      </c>
      <c r="D26" s="156">
        <v>0</v>
      </c>
      <c r="E26" s="155"/>
      <c r="F26" s="156"/>
      <c r="G26" s="155"/>
      <c r="H26" s="156"/>
      <c r="I26" s="155">
        <v>0</v>
      </c>
      <c r="J26" s="156">
        <v>1</v>
      </c>
      <c r="K26" s="160">
        <f t="shared" si="0"/>
        <v>1</v>
      </c>
      <c r="L26" s="160">
        <f t="shared" si="1"/>
        <v>1</v>
      </c>
      <c r="M26" s="73"/>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row>
    <row r="27" spans="1:86" s="89" customFormat="1" ht="12" customHeight="1">
      <c r="A27" s="110" t="s">
        <v>220</v>
      </c>
      <c r="B27" s="109" t="s">
        <v>184</v>
      </c>
      <c r="C27" s="155">
        <v>0</v>
      </c>
      <c r="D27" s="156">
        <v>1</v>
      </c>
      <c r="E27" s="155"/>
      <c r="F27" s="156"/>
      <c r="G27" s="155"/>
      <c r="H27" s="156"/>
      <c r="I27" s="155">
        <v>1</v>
      </c>
      <c r="J27" s="156">
        <v>2</v>
      </c>
      <c r="K27" s="160">
        <f t="shared" si="0"/>
        <v>1</v>
      </c>
      <c r="L27" s="160">
        <f t="shared" si="1"/>
        <v>3</v>
      </c>
      <c r="M27" s="73"/>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row>
    <row r="28" spans="1:86" ht="15" customHeight="1">
      <c r="A28" s="111" t="s">
        <v>221</v>
      </c>
      <c r="B28" s="112">
        <v>13</v>
      </c>
      <c r="C28" s="157">
        <v>0</v>
      </c>
      <c r="D28" s="158"/>
      <c r="E28" s="157"/>
      <c r="F28" s="158"/>
      <c r="G28" s="157"/>
      <c r="H28" s="158"/>
      <c r="I28" s="157"/>
      <c r="J28" s="158"/>
      <c r="K28" s="160">
        <f>C28+E28+G28+I28</f>
        <v>0</v>
      </c>
      <c r="L28" s="160">
        <f>D28+F28+H28+J28</f>
        <v>0</v>
      </c>
    </row>
    <row r="29" spans="1:86" s="114" customFormat="1" ht="12" customHeight="1">
      <c r="A29" s="107" t="s">
        <v>222</v>
      </c>
      <c r="B29" s="113"/>
      <c r="C29" s="159"/>
      <c r="D29" s="159"/>
      <c r="E29" s="159"/>
      <c r="F29" s="159"/>
      <c r="G29" s="159"/>
      <c r="H29" s="159"/>
      <c r="I29" s="159"/>
      <c r="J29" s="159"/>
      <c r="K29" s="159"/>
      <c r="L29" s="159"/>
      <c r="M29" s="73"/>
    </row>
    <row r="30" spans="1:86" s="117" customFormat="1" ht="12" customHeight="1">
      <c r="A30" s="115" t="s">
        <v>223</v>
      </c>
      <c r="B30" s="116">
        <v>14</v>
      </c>
      <c r="C30" s="160">
        <f t="shared" ref="C30:L30" si="2">SUM(C16:C29)</f>
        <v>1651</v>
      </c>
      <c r="D30" s="160">
        <f t="shared" si="2"/>
        <v>1789</v>
      </c>
      <c r="E30" s="160">
        <f t="shared" si="2"/>
        <v>0</v>
      </c>
      <c r="F30" s="160">
        <f t="shared" si="2"/>
        <v>0</v>
      </c>
      <c r="G30" s="160">
        <f t="shared" si="2"/>
        <v>0</v>
      </c>
      <c r="H30" s="160">
        <f t="shared" si="2"/>
        <v>0</v>
      </c>
      <c r="I30" s="160">
        <f t="shared" si="2"/>
        <v>23</v>
      </c>
      <c r="J30" s="160">
        <f t="shared" si="2"/>
        <v>58</v>
      </c>
      <c r="K30" s="160">
        <f t="shared" si="2"/>
        <v>1674</v>
      </c>
      <c r="L30" s="160">
        <f t="shared" si="2"/>
        <v>1847</v>
      </c>
      <c r="M30" s="73"/>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row>
    <row r="31" spans="1:86" ht="12" customHeight="1">
      <c r="A31" s="144" t="s">
        <v>224</v>
      </c>
      <c r="B31" s="118"/>
      <c r="C31" s="119"/>
      <c r="D31" s="119"/>
      <c r="E31" s="119"/>
      <c r="F31" s="119"/>
      <c r="G31" s="119"/>
      <c r="H31" s="119"/>
      <c r="I31" s="119"/>
      <c r="J31" s="119"/>
      <c r="K31" s="119"/>
      <c r="L31" s="119"/>
    </row>
    <row r="32" spans="1:86" s="121" customFormat="1" ht="15.75" customHeight="1" thickBot="1">
      <c r="A32" s="145" t="s">
        <v>225</v>
      </c>
      <c r="B32" s="139"/>
      <c r="C32" s="147" t="str">
        <f>IF(M1=0,"",IF(C30=(('99'!U26)-('99'!U25)),"ok","ERROR"))</f>
        <v>ok</v>
      </c>
      <c r="D32" s="147" t="str">
        <f>IF(M1=0,"",IF(D30=(('99'!V26)-('99'!V25)),"ok","ERROR"))</f>
        <v>ok</v>
      </c>
      <c r="E32" s="147" t="str">
        <f>IF(M1=0,"",IF(E30=('99'!U25),"ok","ERROR"))</f>
        <v>ok</v>
      </c>
      <c r="F32" s="147" t="str">
        <f>IF(M1=0,"",IF(F30=('99'!V25),"ok","ERROR"))</f>
        <v>ok</v>
      </c>
      <c r="G32" s="147" t="str">
        <f>IF(M1=0,"",IF(G30=(('99'!$U28)+('99'!$U29)),"ok","ERROR"))</f>
        <v>ok</v>
      </c>
      <c r="H32" s="147" t="str">
        <f>IF(M1=0,"",IF(H30=(('99'!$V28)+('99'!$V29)),"ok","ERROR"))</f>
        <v>ok</v>
      </c>
      <c r="I32" s="147" t="str">
        <f>IF(M1=0,"",IF(I30=(('99'!$U32)+('99'!$U33)+('99'!U34)),"ok","ERROR"))</f>
        <v>ok</v>
      </c>
      <c r="J32" s="147" t="str">
        <f>IF(M1=0,"",IF(J30=(('99'!$V32)+('99'!$V33)+('99'!V34)),"ok","ERROR"))</f>
        <v>ok</v>
      </c>
      <c r="K32" s="147" t="str">
        <f>IF(M1=0,"",IF(K30=(('99'!$U26)+('99'!$U35)),"ok","ERROR"))</f>
        <v>ok</v>
      </c>
      <c r="L32" s="147" t="str">
        <f>IF(M1=0,"",IF(L30=(('99'!$V26)+('99'!$V35)),"ok","ERROR"))</f>
        <v>ok</v>
      </c>
      <c r="M32" s="73"/>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row>
    <row r="33" spans="1:86" s="114" customFormat="1" ht="16.149999999999999" thickTop="1">
      <c r="A33" s="140" t="s">
        <v>226</v>
      </c>
      <c r="B33" s="141"/>
      <c r="C33" s="142"/>
      <c r="D33" s="143"/>
      <c r="E33" s="143"/>
      <c r="F33" s="143"/>
      <c r="G33" s="143"/>
      <c r="H33" s="143"/>
      <c r="I33" s="143"/>
      <c r="J33" s="143"/>
      <c r="K33" s="173"/>
      <c r="L33" s="174"/>
      <c r="M33" s="73"/>
    </row>
    <row r="34" spans="1:86" s="89" customFormat="1" ht="12" customHeight="1">
      <c r="A34" s="104" t="s">
        <v>227</v>
      </c>
      <c r="B34" s="109">
        <v>15</v>
      </c>
      <c r="C34" s="155">
        <v>1</v>
      </c>
      <c r="D34" s="156">
        <v>1</v>
      </c>
      <c r="E34" s="155">
        <v>21</v>
      </c>
      <c r="F34" s="156">
        <v>51</v>
      </c>
      <c r="G34" s="155"/>
      <c r="H34" s="156"/>
      <c r="I34" s="155">
        <v>0</v>
      </c>
      <c r="J34" s="156"/>
      <c r="K34" s="160">
        <f t="shared" ref="K34:K45" si="3">C34+E34+G34+I34</f>
        <v>22</v>
      </c>
      <c r="L34" s="160">
        <f t="shared" ref="L34:L45" si="4">D34+F34+H34+J34</f>
        <v>52</v>
      </c>
      <c r="M34" s="73"/>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row>
    <row r="35" spans="1:86" s="89" customFormat="1" ht="12" customHeight="1">
      <c r="A35" s="104" t="s">
        <v>210</v>
      </c>
      <c r="B35" s="109">
        <v>16</v>
      </c>
      <c r="C35" s="155">
        <v>27</v>
      </c>
      <c r="D35" s="156">
        <v>38</v>
      </c>
      <c r="E35" s="309">
        <v>18</v>
      </c>
      <c r="F35" s="156">
        <v>8</v>
      </c>
      <c r="G35" s="155"/>
      <c r="H35" s="156"/>
      <c r="I35" s="155">
        <v>0</v>
      </c>
      <c r="J35" s="156"/>
      <c r="K35" s="160">
        <f t="shared" si="3"/>
        <v>45</v>
      </c>
      <c r="L35" s="160">
        <f t="shared" si="4"/>
        <v>46</v>
      </c>
      <c r="M35" s="73"/>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row>
    <row r="36" spans="1:86" s="89" customFormat="1" ht="12" customHeight="1">
      <c r="A36" s="104" t="s">
        <v>211</v>
      </c>
      <c r="B36" s="109">
        <v>17</v>
      </c>
      <c r="C36" s="155">
        <v>40</v>
      </c>
      <c r="D36" s="156">
        <v>51</v>
      </c>
      <c r="E36" s="155">
        <v>12</v>
      </c>
      <c r="F36" s="156">
        <v>3</v>
      </c>
      <c r="G36" s="155"/>
      <c r="H36" s="156"/>
      <c r="I36" s="155">
        <v>0</v>
      </c>
      <c r="J36" s="156">
        <v>4</v>
      </c>
      <c r="K36" s="160">
        <f t="shared" si="3"/>
        <v>52</v>
      </c>
      <c r="L36" s="160">
        <f t="shared" si="4"/>
        <v>58</v>
      </c>
      <c r="M36" s="73"/>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row>
    <row r="37" spans="1:86" s="89" customFormat="1" ht="12" customHeight="1">
      <c r="A37" s="104" t="s">
        <v>212</v>
      </c>
      <c r="B37" s="109">
        <v>18</v>
      </c>
      <c r="C37" s="155">
        <v>109</v>
      </c>
      <c r="D37" s="156">
        <v>76</v>
      </c>
      <c r="E37" s="155">
        <v>6</v>
      </c>
      <c r="F37" s="156">
        <v>4</v>
      </c>
      <c r="G37" s="155"/>
      <c r="H37" s="156"/>
      <c r="I37" s="155">
        <v>14</v>
      </c>
      <c r="J37" s="156">
        <v>66</v>
      </c>
      <c r="K37" s="160">
        <f t="shared" si="3"/>
        <v>129</v>
      </c>
      <c r="L37" s="160">
        <f t="shared" si="4"/>
        <v>146</v>
      </c>
      <c r="M37" s="73"/>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row>
    <row r="38" spans="1:86" s="89" customFormat="1" ht="12" customHeight="1" thickBot="1">
      <c r="A38" s="206" t="s">
        <v>213</v>
      </c>
      <c r="B38" s="118">
        <v>19</v>
      </c>
      <c r="C38" s="207">
        <v>50</v>
      </c>
      <c r="D38" s="208">
        <v>63</v>
      </c>
      <c r="E38" s="207">
        <v>5</v>
      </c>
      <c r="F38" s="208">
        <v>0</v>
      </c>
      <c r="G38" s="207"/>
      <c r="H38" s="208"/>
      <c r="I38" s="207">
        <v>43</v>
      </c>
      <c r="J38" s="208">
        <v>99</v>
      </c>
      <c r="K38" s="159">
        <f t="shared" si="3"/>
        <v>98</v>
      </c>
      <c r="L38" s="159">
        <f t="shared" si="4"/>
        <v>162</v>
      </c>
      <c r="M38" s="73"/>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row>
    <row r="39" spans="1:86" s="89" customFormat="1" ht="12" customHeight="1">
      <c r="A39" s="209" t="s">
        <v>214</v>
      </c>
      <c r="B39" s="210">
        <v>20</v>
      </c>
      <c r="C39" s="211">
        <v>15</v>
      </c>
      <c r="D39" s="212">
        <v>29</v>
      </c>
      <c r="E39" s="211">
        <v>1</v>
      </c>
      <c r="F39" s="212">
        <v>0</v>
      </c>
      <c r="G39" s="211"/>
      <c r="H39" s="212"/>
      <c r="I39" s="211">
        <v>15</v>
      </c>
      <c r="J39" s="212">
        <v>64</v>
      </c>
      <c r="K39" s="213">
        <f t="shared" si="3"/>
        <v>31</v>
      </c>
      <c r="L39" s="213">
        <f t="shared" si="4"/>
        <v>93</v>
      </c>
      <c r="M39" s="73"/>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row>
    <row r="40" spans="1:86" s="89" customFormat="1" ht="12" customHeight="1">
      <c r="A40" s="104" t="s">
        <v>215</v>
      </c>
      <c r="B40" s="109">
        <v>21</v>
      </c>
      <c r="C40" s="155">
        <v>9</v>
      </c>
      <c r="D40" s="156">
        <v>12</v>
      </c>
      <c r="E40" s="155">
        <v>0</v>
      </c>
      <c r="F40" s="156">
        <v>0</v>
      </c>
      <c r="G40" s="155"/>
      <c r="H40" s="156"/>
      <c r="I40" s="155">
        <v>14</v>
      </c>
      <c r="J40" s="156">
        <v>38</v>
      </c>
      <c r="K40" s="160">
        <f t="shared" si="3"/>
        <v>23</v>
      </c>
      <c r="L40" s="160">
        <f t="shared" si="4"/>
        <v>50</v>
      </c>
      <c r="M40" s="73"/>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row>
    <row r="41" spans="1:86" s="89" customFormat="1" ht="12" customHeight="1">
      <c r="A41" s="104" t="s">
        <v>216</v>
      </c>
      <c r="B41" s="109">
        <v>22</v>
      </c>
      <c r="C41" s="155">
        <v>5</v>
      </c>
      <c r="D41" s="156">
        <v>16</v>
      </c>
      <c r="E41" s="155">
        <v>0</v>
      </c>
      <c r="F41" s="156">
        <v>0</v>
      </c>
      <c r="G41" s="155"/>
      <c r="H41" s="156"/>
      <c r="I41" s="155">
        <v>9</v>
      </c>
      <c r="J41" s="156">
        <v>45</v>
      </c>
      <c r="K41" s="160">
        <f t="shared" si="3"/>
        <v>14</v>
      </c>
      <c r="L41" s="160">
        <f t="shared" si="4"/>
        <v>61</v>
      </c>
      <c r="M41" s="73"/>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row>
    <row r="42" spans="1:86" s="89" customFormat="1" ht="12" customHeight="1" thickBot="1">
      <c r="A42" s="214" t="s">
        <v>217</v>
      </c>
      <c r="B42" s="215">
        <v>23</v>
      </c>
      <c r="C42" s="216">
        <v>2</v>
      </c>
      <c r="D42" s="217">
        <v>9</v>
      </c>
      <c r="E42" s="216">
        <v>0</v>
      </c>
      <c r="F42" s="217">
        <v>1</v>
      </c>
      <c r="G42" s="216"/>
      <c r="H42" s="217"/>
      <c r="I42" s="216">
        <v>7</v>
      </c>
      <c r="J42" s="217">
        <v>31</v>
      </c>
      <c r="K42" s="218">
        <f t="shared" si="3"/>
        <v>9</v>
      </c>
      <c r="L42" s="218">
        <f t="shared" si="4"/>
        <v>41</v>
      </c>
      <c r="M42" s="73"/>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row>
    <row r="43" spans="1:86" s="89" customFormat="1" ht="12" customHeight="1">
      <c r="A43" s="104" t="s">
        <v>218</v>
      </c>
      <c r="B43" s="109">
        <v>24</v>
      </c>
      <c r="C43" s="155">
        <v>4</v>
      </c>
      <c r="D43" s="156">
        <v>21</v>
      </c>
      <c r="E43" s="155">
        <v>1</v>
      </c>
      <c r="F43" s="156">
        <v>2</v>
      </c>
      <c r="G43" s="155"/>
      <c r="H43" s="156"/>
      <c r="I43" s="155">
        <v>14</v>
      </c>
      <c r="J43" s="156">
        <v>43</v>
      </c>
      <c r="K43" s="160">
        <f t="shared" si="3"/>
        <v>19</v>
      </c>
      <c r="L43" s="160">
        <f t="shared" si="4"/>
        <v>66</v>
      </c>
      <c r="M43" s="73"/>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row>
    <row r="44" spans="1:86" s="89" customFormat="1" ht="12" customHeight="1">
      <c r="A44" s="110" t="s">
        <v>219</v>
      </c>
      <c r="B44" s="109">
        <v>25</v>
      </c>
      <c r="C44" s="155">
        <v>0</v>
      </c>
      <c r="D44" s="156">
        <v>4</v>
      </c>
      <c r="E44" s="155">
        <v>0</v>
      </c>
      <c r="F44" s="156">
        <v>0</v>
      </c>
      <c r="G44" s="155"/>
      <c r="H44" s="156"/>
      <c r="I44" s="155">
        <v>2</v>
      </c>
      <c r="J44" s="156">
        <v>5</v>
      </c>
      <c r="K44" s="160">
        <f t="shared" si="3"/>
        <v>2</v>
      </c>
      <c r="L44" s="160">
        <f t="shared" si="4"/>
        <v>9</v>
      </c>
      <c r="M44" s="73"/>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row>
    <row r="45" spans="1:86" s="89" customFormat="1" ht="12" customHeight="1">
      <c r="A45" s="110" t="s">
        <v>220</v>
      </c>
      <c r="B45" s="109">
        <v>26</v>
      </c>
      <c r="C45" s="155">
        <v>4</v>
      </c>
      <c r="D45" s="156">
        <v>1</v>
      </c>
      <c r="E45" s="155">
        <v>1</v>
      </c>
      <c r="F45" s="156">
        <v>0</v>
      </c>
      <c r="G45" s="155"/>
      <c r="H45" s="156"/>
      <c r="I45" s="155">
        <v>19</v>
      </c>
      <c r="J45" s="156">
        <v>16</v>
      </c>
      <c r="K45" s="160">
        <f t="shared" si="3"/>
        <v>24</v>
      </c>
      <c r="L45" s="160">
        <f t="shared" si="4"/>
        <v>17</v>
      </c>
      <c r="M45" s="73"/>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row>
    <row r="46" spans="1:86" ht="12" customHeight="1">
      <c r="A46" s="111" t="s">
        <v>221</v>
      </c>
      <c r="B46" s="112">
        <v>27</v>
      </c>
      <c r="C46" s="157">
        <v>1</v>
      </c>
      <c r="D46" s="158"/>
      <c r="E46" s="157">
        <v>4</v>
      </c>
      <c r="F46" s="158">
        <v>6</v>
      </c>
      <c r="G46" s="157"/>
      <c r="H46" s="158"/>
      <c r="I46" s="157">
        <v>0</v>
      </c>
      <c r="J46" s="158">
        <v>1</v>
      </c>
      <c r="K46" s="160">
        <f>C46+E46+G46+I46</f>
        <v>5</v>
      </c>
      <c r="L46" s="160">
        <f>D46+F46+H46+J46</f>
        <v>7</v>
      </c>
    </row>
    <row r="47" spans="1:86" s="114" customFormat="1" ht="12" customHeight="1">
      <c r="A47" s="107" t="s">
        <v>228</v>
      </c>
      <c r="B47" s="118"/>
      <c r="C47" s="159"/>
      <c r="D47" s="159"/>
      <c r="E47" s="159"/>
      <c r="F47" s="159"/>
      <c r="G47" s="159"/>
      <c r="H47" s="159"/>
      <c r="I47" s="159"/>
      <c r="J47" s="159"/>
      <c r="K47" s="159"/>
      <c r="L47" s="159"/>
      <c r="M47" s="73"/>
    </row>
    <row r="48" spans="1:86" s="117" customFormat="1" ht="12" customHeight="1">
      <c r="A48" s="115" t="s">
        <v>229</v>
      </c>
      <c r="B48" s="116">
        <v>28</v>
      </c>
      <c r="C48" s="160">
        <f>SUM(C34:C46)</f>
        <v>267</v>
      </c>
      <c r="D48" s="160">
        <f t="shared" ref="D48:L48" si="5">SUM(D34:D46)</f>
        <v>321</v>
      </c>
      <c r="E48" s="160">
        <f t="shared" si="5"/>
        <v>69</v>
      </c>
      <c r="F48" s="160">
        <f t="shared" si="5"/>
        <v>75</v>
      </c>
      <c r="G48" s="160">
        <f t="shared" si="5"/>
        <v>0</v>
      </c>
      <c r="H48" s="160">
        <f t="shared" si="5"/>
        <v>0</v>
      </c>
      <c r="I48" s="160">
        <f t="shared" si="5"/>
        <v>137</v>
      </c>
      <c r="J48" s="160">
        <f t="shared" si="5"/>
        <v>412</v>
      </c>
      <c r="K48" s="160">
        <f t="shared" si="5"/>
        <v>473</v>
      </c>
      <c r="L48" s="160">
        <f t="shared" si="5"/>
        <v>808</v>
      </c>
      <c r="M48" s="73"/>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row>
    <row r="49" spans="1:86" s="114" customFormat="1" ht="12" customHeight="1">
      <c r="A49" s="144" t="s">
        <v>224</v>
      </c>
      <c r="B49" s="118"/>
      <c r="C49" s="50"/>
      <c r="D49" s="50"/>
      <c r="E49" s="50"/>
      <c r="F49" s="50"/>
      <c r="G49" s="50"/>
      <c r="H49" s="50"/>
      <c r="I49" s="50"/>
      <c r="J49" s="50"/>
      <c r="K49" s="50"/>
      <c r="L49" s="50"/>
      <c r="M49" s="73"/>
    </row>
    <row r="50" spans="1:86" s="114" customFormat="1" ht="16.5" customHeight="1" thickBot="1">
      <c r="A50" s="145" t="s">
        <v>225</v>
      </c>
      <c r="B50" s="146"/>
      <c r="C50" s="635" t="str">
        <f>IF(M1=0,"",IF(C48=(('99'!U56)-('99'!U55)),"ok","ERROR"))</f>
        <v>ok</v>
      </c>
      <c r="D50" s="635" t="str">
        <f>IF(M1=0,"",IF(D48=(('99'!V56)-('99'!V55)),"ok","ERROR"))</f>
        <v>ok</v>
      </c>
      <c r="E50" s="635" t="str">
        <f>IF(M1=0,"",IF(E48=('99'!U55),"ok","ERROR"))</f>
        <v>ok</v>
      </c>
      <c r="F50" s="635" t="str">
        <f>IF(M1=0,"",IF(F48=('99'!V55),"ok","ERROR"))</f>
        <v>ok</v>
      </c>
      <c r="G50" s="635" t="str">
        <f>IF(M1=0,"",IF(G48=(('99'!$U58)+('99'!$U59)),"ok","ERROR"))</f>
        <v>ok</v>
      </c>
      <c r="H50" s="635" t="str">
        <f>IF(M1=0,"",IF(H48=(('99'!$V58)+('99'!$V59)),"ok","ERROR"))</f>
        <v>ok</v>
      </c>
      <c r="I50" s="635" t="str">
        <f>IF(M1=0,"",IF(I48=(('99'!$U62)+('99'!$U63)+('99'!U64)),"ok","ERROR"))</f>
        <v>ok</v>
      </c>
      <c r="J50" s="635" t="str">
        <f>IF(M1=0,"",IF(J48=(('99'!$V62)+('99'!$V63)+('99'!V64)),"ok","ERROR"))</f>
        <v>ok</v>
      </c>
      <c r="K50" s="635" t="str">
        <f>IF(M1=0,"",IF(K48=(('99'!$U56)+('99'!$U65)),"ok","ERROR"))</f>
        <v>ok</v>
      </c>
      <c r="L50" s="635" t="str">
        <f>IF(M1=0,"",IF(L48=(('99'!$V56)+('99'!$V65)),"ok","ERROR"))</f>
        <v>ok</v>
      </c>
      <c r="M50" s="73"/>
    </row>
    <row r="51" spans="1:86" s="124" customFormat="1" ht="12" customHeight="1" thickTop="1">
      <c r="A51" s="123" t="s">
        <v>230</v>
      </c>
      <c r="B51" s="118"/>
      <c r="C51" s="204"/>
      <c r="D51" s="204"/>
      <c r="E51" s="204"/>
      <c r="F51" s="204"/>
      <c r="G51" s="204"/>
      <c r="H51" s="204"/>
      <c r="I51" s="204"/>
      <c r="J51" s="204"/>
      <c r="K51" s="204"/>
      <c r="L51" s="204"/>
      <c r="M51" s="73"/>
    </row>
    <row r="52" spans="1:86" s="126" customFormat="1" ht="12" customHeight="1" thickBot="1">
      <c r="A52" s="125" t="s">
        <v>231</v>
      </c>
      <c r="B52" s="116">
        <v>29</v>
      </c>
      <c r="C52" s="205">
        <f t="shared" ref="C52:L52" si="6">C48+C30</f>
        <v>1918</v>
      </c>
      <c r="D52" s="205">
        <f t="shared" si="6"/>
        <v>2110</v>
      </c>
      <c r="E52" s="205">
        <f t="shared" si="6"/>
        <v>69</v>
      </c>
      <c r="F52" s="205">
        <f t="shared" si="6"/>
        <v>75</v>
      </c>
      <c r="G52" s="205">
        <f t="shared" si="6"/>
        <v>0</v>
      </c>
      <c r="H52" s="205">
        <f t="shared" si="6"/>
        <v>0</v>
      </c>
      <c r="I52" s="205">
        <f t="shared" si="6"/>
        <v>160</v>
      </c>
      <c r="J52" s="205">
        <f t="shared" si="6"/>
        <v>470</v>
      </c>
      <c r="K52" s="204">
        <f t="shared" si="6"/>
        <v>2147</v>
      </c>
      <c r="L52" s="204">
        <f t="shared" si="6"/>
        <v>2655</v>
      </c>
      <c r="M52" s="73"/>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row>
    <row r="53" spans="1:86" ht="26.25" customHeight="1">
      <c r="A53" s="82"/>
      <c r="B53" s="127"/>
      <c r="C53" s="85"/>
      <c r="D53" s="85"/>
      <c r="E53" s="85"/>
      <c r="F53" s="85"/>
      <c r="G53" s="85"/>
      <c r="H53" s="85"/>
      <c r="I53" s="170"/>
      <c r="J53" s="171" t="s">
        <v>232</v>
      </c>
      <c r="K53" s="1039" t="str">
        <f>IF(M1=0,"",IF(K52=(('99'!U66)),"ok","ERROR"))</f>
        <v>ok</v>
      </c>
      <c r="L53" s="1039" t="str">
        <f>IF(M1=0,"",IF(L52=(('99'!V66)),"ok","ERROR"))</f>
        <v>ok</v>
      </c>
    </row>
    <row r="54" spans="1:86" ht="30" customHeight="1" thickBot="1">
      <c r="A54" s="82"/>
      <c r="B54" s="127"/>
      <c r="C54" s="85"/>
      <c r="D54" s="85"/>
      <c r="E54" s="85"/>
      <c r="F54" s="85"/>
      <c r="G54" s="85"/>
      <c r="H54" s="85"/>
      <c r="I54" s="169"/>
      <c r="J54" s="172" t="s">
        <v>233</v>
      </c>
      <c r="K54" s="1040"/>
      <c r="L54" s="1040"/>
    </row>
    <row r="55" spans="1:86" ht="15.95" hidden="1" customHeight="1">
      <c r="A55" s="77"/>
      <c r="B55" s="77"/>
      <c r="C55" s="72"/>
      <c r="D55" s="85"/>
      <c r="E55" s="85"/>
      <c r="F55" s="85"/>
      <c r="G55" s="85" t="s">
        <v>61</v>
      </c>
      <c r="H55" s="85"/>
      <c r="I55" s="161"/>
      <c r="J55" s="161"/>
      <c r="K55" s="175"/>
      <c r="L55" s="176"/>
    </row>
    <row r="56" spans="1:86" ht="15.95" hidden="1" customHeight="1">
      <c r="A56" s="77"/>
      <c r="B56" s="77"/>
      <c r="C56" s="82"/>
      <c r="D56" s="85"/>
      <c r="E56" s="85"/>
      <c r="F56" s="85"/>
      <c r="G56" s="85"/>
      <c r="H56" s="85"/>
      <c r="I56" s="85"/>
      <c r="J56" s="85"/>
      <c r="K56" s="85"/>
    </row>
    <row r="57" spans="1:86" ht="15.95" hidden="1" customHeight="1">
      <c r="A57" s="77"/>
      <c r="B57" s="77"/>
      <c r="C57" s="82"/>
      <c r="D57" s="85"/>
      <c r="E57" s="85"/>
      <c r="F57" s="85"/>
      <c r="G57" s="85"/>
      <c r="H57" s="85"/>
      <c r="I57" s="85"/>
      <c r="J57" s="85"/>
      <c r="K57" s="85"/>
    </row>
    <row r="58" spans="1:86" ht="15.95" hidden="1" customHeight="1">
      <c r="A58" s="120"/>
      <c r="B58" s="120"/>
      <c r="C58" s="85"/>
      <c r="D58" s="85"/>
      <c r="E58" s="85"/>
      <c r="F58" s="85"/>
      <c r="G58" s="85"/>
      <c r="H58" s="85"/>
      <c r="I58" s="85"/>
      <c r="J58" s="85"/>
      <c r="K58" s="85"/>
    </row>
    <row r="59" spans="1:86" ht="12" hidden="1" customHeight="1">
      <c r="A59" s="82"/>
      <c r="B59" s="84"/>
      <c r="C59" s="85"/>
      <c r="D59" s="85"/>
      <c r="E59" s="85"/>
      <c r="F59" s="85"/>
      <c r="G59" s="85"/>
      <c r="H59" s="85"/>
      <c r="I59" s="85"/>
      <c r="J59" s="85"/>
      <c r="K59" s="85"/>
    </row>
    <row r="60" spans="1:86" ht="12" hidden="1" customHeight="1">
      <c r="A60" s="82"/>
      <c r="B60" s="127"/>
      <c r="C60" s="85"/>
      <c r="D60" s="85"/>
      <c r="E60" s="85"/>
      <c r="F60" s="85"/>
      <c r="G60" s="85"/>
      <c r="H60" s="85"/>
      <c r="I60" s="85"/>
      <c r="J60" s="85"/>
      <c r="K60" s="85"/>
    </row>
    <row r="61" spans="1:86" ht="12" hidden="1" customHeight="1">
      <c r="A61" s="128"/>
      <c r="B61" s="84"/>
      <c r="C61" s="85"/>
      <c r="D61" s="85"/>
      <c r="E61" s="85"/>
      <c r="F61" s="85"/>
      <c r="G61" s="85"/>
      <c r="H61" s="85"/>
      <c r="I61" s="85"/>
      <c r="J61" s="85"/>
      <c r="K61" s="85"/>
    </row>
    <row r="62" spans="1:86" s="114" customFormat="1" ht="12" hidden="1" customHeight="1">
      <c r="A62" s="128"/>
      <c r="B62" s="129"/>
      <c r="L62" s="122"/>
      <c r="M62" s="73"/>
    </row>
    <row r="63" spans="1:86" ht="12" hidden="1" customHeight="1">
      <c r="A63" s="82"/>
      <c r="B63" s="84"/>
      <c r="C63" s="85"/>
      <c r="D63" s="85"/>
      <c r="E63" s="85"/>
      <c r="F63" s="85"/>
      <c r="G63" s="85"/>
      <c r="H63" s="85"/>
      <c r="I63" s="85"/>
      <c r="J63" s="85"/>
      <c r="K63" s="85"/>
    </row>
    <row r="64" spans="1:86" ht="12" hidden="1" customHeight="1">
      <c r="A64" s="82"/>
      <c r="B64" s="84"/>
      <c r="C64" s="85"/>
      <c r="D64" s="85"/>
      <c r="E64" s="85"/>
      <c r="F64" s="85"/>
      <c r="G64" s="85"/>
      <c r="H64" s="85"/>
      <c r="I64" s="85"/>
      <c r="J64" s="85"/>
      <c r="K64" s="85"/>
    </row>
    <row r="65" spans="1:13" ht="12" hidden="1" customHeight="1">
      <c r="A65" s="82"/>
      <c r="B65" s="127"/>
      <c r="C65" s="85"/>
      <c r="D65" s="85"/>
      <c r="E65" s="85"/>
      <c r="F65" s="85"/>
      <c r="G65" s="85"/>
      <c r="H65" s="85"/>
      <c r="I65" s="85"/>
      <c r="J65" s="85"/>
      <c r="K65" s="85"/>
    </row>
    <row r="66" spans="1:13" ht="12" hidden="1" customHeight="1">
      <c r="B66" s="84"/>
      <c r="C66" s="85"/>
      <c r="D66" s="85"/>
      <c r="E66" s="85"/>
      <c r="F66" s="85"/>
      <c r="G66" s="85"/>
      <c r="H66" s="85"/>
      <c r="I66" s="85"/>
      <c r="J66" s="85"/>
      <c r="K66" s="85"/>
    </row>
    <row r="67" spans="1:13" ht="12" hidden="1" customHeight="1">
      <c r="A67" s="82"/>
      <c r="B67" s="127"/>
      <c r="C67" s="85"/>
      <c r="D67" s="85"/>
      <c r="E67" s="85"/>
      <c r="F67" s="85"/>
      <c r="G67" s="85"/>
      <c r="H67" s="85"/>
      <c r="I67" s="85"/>
      <c r="J67" s="85"/>
      <c r="K67" s="85"/>
    </row>
    <row r="68" spans="1:13" ht="12" hidden="1" customHeight="1">
      <c r="A68" s="82"/>
      <c r="B68" s="84"/>
      <c r="C68" s="85"/>
      <c r="D68" s="85"/>
      <c r="E68" s="85"/>
      <c r="F68" s="85"/>
      <c r="G68" s="85"/>
      <c r="H68" s="85"/>
      <c r="I68" s="85"/>
      <c r="J68" s="85"/>
      <c r="K68" s="85"/>
    </row>
    <row r="69" spans="1:13" ht="12" hidden="1" customHeight="1">
      <c r="A69" s="82"/>
      <c r="B69" s="84"/>
      <c r="C69" s="85"/>
      <c r="D69" s="85"/>
      <c r="E69" s="85"/>
      <c r="F69" s="85"/>
      <c r="G69" s="85"/>
      <c r="H69" s="85"/>
      <c r="I69" s="85"/>
      <c r="J69" s="85"/>
      <c r="K69" s="85"/>
    </row>
    <row r="70" spans="1:13" ht="12" hidden="1" customHeight="1">
      <c r="B70" s="127"/>
      <c r="C70" s="85"/>
      <c r="D70" s="85"/>
      <c r="E70" s="85"/>
      <c r="F70" s="85"/>
      <c r="G70" s="85"/>
      <c r="H70" s="85"/>
      <c r="I70" s="85"/>
      <c r="J70" s="85"/>
      <c r="K70" s="85"/>
    </row>
    <row r="71" spans="1:13" ht="15" hidden="1" customHeight="1">
      <c r="B71" s="127"/>
      <c r="C71" s="85"/>
      <c r="D71" s="85"/>
      <c r="E71" s="85"/>
      <c r="F71" s="85"/>
      <c r="G71" s="85"/>
      <c r="H71" s="85"/>
      <c r="I71" s="85"/>
      <c r="J71" s="85"/>
      <c r="K71" s="85"/>
    </row>
    <row r="72" spans="1:13" ht="12" hidden="1" customHeight="1">
      <c r="B72" s="84"/>
      <c r="C72" s="85"/>
      <c r="D72" s="85"/>
      <c r="E72" s="85"/>
      <c r="F72" s="85"/>
      <c r="G72" s="85"/>
      <c r="H72" s="85"/>
      <c r="I72" s="85"/>
      <c r="J72" s="85"/>
      <c r="K72" s="85"/>
    </row>
    <row r="73" spans="1:13" ht="12" hidden="1" customHeight="1">
      <c r="A73" s="83"/>
      <c r="B73" s="84"/>
      <c r="C73" s="85"/>
      <c r="D73" s="85"/>
      <c r="E73" s="85"/>
      <c r="F73" s="85"/>
      <c r="G73" s="85"/>
      <c r="H73" s="85"/>
      <c r="I73" s="85"/>
      <c r="J73" s="85"/>
      <c r="K73" s="85"/>
    </row>
    <row r="74" spans="1:13" ht="12" hidden="1" customHeight="1">
      <c r="A74" s="82"/>
      <c r="B74" s="127"/>
      <c r="C74" s="85"/>
      <c r="D74" s="85"/>
      <c r="E74" s="85"/>
      <c r="F74" s="85"/>
      <c r="G74" s="85"/>
      <c r="H74" s="85"/>
      <c r="I74" s="85"/>
      <c r="J74" s="85"/>
      <c r="K74" s="85"/>
    </row>
    <row r="75" spans="1:13" ht="12" hidden="1" customHeight="1">
      <c r="A75" s="128"/>
      <c r="B75" s="84"/>
      <c r="C75" s="85"/>
      <c r="D75" s="85"/>
      <c r="E75" s="85"/>
      <c r="F75" s="85"/>
      <c r="G75" s="85"/>
      <c r="H75" s="85"/>
      <c r="I75" s="85"/>
      <c r="J75" s="85"/>
      <c r="K75" s="85"/>
    </row>
    <row r="76" spans="1:13" s="114" customFormat="1" ht="12" hidden="1" customHeight="1">
      <c r="A76" s="128"/>
      <c r="B76" s="129"/>
      <c r="L76" s="122"/>
      <c r="M76" s="73"/>
    </row>
    <row r="77" spans="1:13" ht="12" hidden="1" customHeight="1">
      <c r="A77" s="82"/>
      <c r="B77" s="84"/>
      <c r="C77" s="85"/>
      <c r="D77" s="85"/>
      <c r="E77" s="85"/>
      <c r="F77" s="85"/>
      <c r="G77" s="85"/>
      <c r="H77" s="85"/>
      <c r="I77" s="85"/>
      <c r="J77" s="85"/>
      <c r="K77" s="85"/>
    </row>
    <row r="78" spans="1:13" ht="12" hidden="1" customHeight="1">
      <c r="A78" s="130"/>
      <c r="B78" s="84"/>
      <c r="C78" s="85"/>
      <c r="D78" s="85"/>
      <c r="E78" s="85"/>
      <c r="F78" s="85"/>
      <c r="G78" s="85"/>
      <c r="H78" s="85"/>
      <c r="I78" s="85"/>
      <c r="J78" s="85"/>
      <c r="K78" s="85"/>
    </row>
    <row r="79" spans="1:13" s="131" customFormat="1" ht="12" hidden="1" customHeight="1">
      <c r="B79" s="132"/>
      <c r="L79" s="133"/>
      <c r="M79" s="73"/>
    </row>
    <row r="80" spans="1:13" ht="12" hidden="1" customHeight="1">
      <c r="B80" s="84"/>
      <c r="C80" s="85"/>
      <c r="D80" s="85"/>
      <c r="E80" s="85"/>
      <c r="F80" s="85"/>
      <c r="G80" s="85"/>
      <c r="H80" s="85"/>
      <c r="I80" s="85"/>
      <c r="J80" s="85"/>
      <c r="K80" s="85"/>
    </row>
    <row r="81" spans="2:11" ht="12" hidden="1" customHeight="1">
      <c r="B81" s="84"/>
      <c r="C81" s="85"/>
      <c r="D81" s="85"/>
      <c r="E81" s="85"/>
      <c r="F81" s="85"/>
      <c r="G81" s="85"/>
      <c r="H81" s="85"/>
      <c r="I81" s="85"/>
      <c r="J81" s="85"/>
      <c r="K81" s="85"/>
    </row>
    <row r="82" spans="2:11" ht="12" hidden="1" customHeight="1">
      <c r="B82" s="84"/>
      <c r="C82" s="85"/>
      <c r="D82" s="85"/>
      <c r="E82" s="85"/>
      <c r="F82" s="85"/>
      <c r="G82" s="85"/>
      <c r="H82" s="85"/>
      <c r="I82" s="85"/>
      <c r="J82" s="85"/>
      <c r="K82" s="85"/>
    </row>
    <row r="83" spans="2:11" ht="12" hidden="1" customHeight="1">
      <c r="B83" s="84"/>
      <c r="C83" s="85"/>
      <c r="D83" s="85"/>
      <c r="E83" s="85"/>
      <c r="F83" s="85"/>
      <c r="G83" s="85"/>
      <c r="H83" s="85"/>
      <c r="I83" s="85"/>
      <c r="J83" s="85"/>
      <c r="K83" s="85"/>
    </row>
    <row r="84" spans="2:11" ht="12" hidden="1" customHeight="1">
      <c r="B84" s="84"/>
      <c r="C84" s="85"/>
      <c r="D84" s="85"/>
      <c r="E84" s="85"/>
      <c r="F84" s="85"/>
      <c r="G84" s="85"/>
      <c r="H84" s="85"/>
      <c r="I84" s="85"/>
      <c r="J84" s="85"/>
      <c r="K84" s="85"/>
    </row>
    <row r="85" spans="2:11" ht="12" hidden="1" customHeight="1">
      <c r="B85" s="84"/>
      <c r="C85" s="85"/>
      <c r="D85" s="85"/>
      <c r="E85" s="85"/>
      <c r="F85" s="85"/>
      <c r="G85" s="85"/>
      <c r="H85" s="85"/>
      <c r="I85" s="85"/>
      <c r="J85" s="85"/>
      <c r="K85" s="85"/>
    </row>
    <row r="86" spans="2:11" ht="12" hidden="1" customHeight="1">
      <c r="B86" s="84"/>
      <c r="C86" s="85"/>
      <c r="D86" s="85"/>
      <c r="E86" s="85"/>
      <c r="F86" s="85"/>
      <c r="G86" s="85"/>
      <c r="H86" s="85"/>
      <c r="I86" s="85"/>
      <c r="J86" s="85"/>
      <c r="K86" s="85"/>
    </row>
    <row r="87" spans="2:11" ht="12" hidden="1" customHeight="1">
      <c r="B87" s="84"/>
      <c r="C87" s="85"/>
      <c r="D87" s="85"/>
      <c r="E87" s="85"/>
      <c r="F87" s="85"/>
      <c r="G87" s="85"/>
      <c r="H87" s="85"/>
      <c r="I87" s="85"/>
      <c r="J87" s="85"/>
      <c r="K87" s="85"/>
    </row>
    <row r="88" spans="2:11" ht="12" hidden="1" customHeight="1">
      <c r="B88" s="84"/>
      <c r="C88" s="85"/>
      <c r="D88" s="85"/>
      <c r="E88" s="85"/>
      <c r="F88" s="85"/>
      <c r="G88" s="85"/>
      <c r="H88" s="85"/>
      <c r="I88" s="85"/>
      <c r="J88" s="85"/>
      <c r="K88" s="85"/>
    </row>
    <row r="89" spans="2:11" ht="12" hidden="1" customHeight="1">
      <c r="B89" s="84"/>
      <c r="C89" s="85"/>
      <c r="D89" s="85"/>
      <c r="E89" s="85"/>
      <c r="F89" s="85"/>
      <c r="G89" s="85"/>
      <c r="H89" s="85"/>
      <c r="I89" s="85"/>
      <c r="J89" s="85"/>
      <c r="K89" s="85"/>
    </row>
    <row r="90" spans="2:11" ht="12" hidden="1" customHeight="1">
      <c r="B90" s="84"/>
      <c r="C90" s="85"/>
      <c r="D90" s="85"/>
      <c r="E90" s="85"/>
      <c r="F90" s="85"/>
      <c r="G90" s="85"/>
      <c r="H90" s="85"/>
      <c r="I90" s="85"/>
      <c r="J90" s="85"/>
      <c r="K90" s="85"/>
    </row>
    <row r="91" spans="2:11" ht="12" hidden="1" customHeight="1">
      <c r="B91" s="84"/>
      <c r="C91" s="85"/>
      <c r="D91" s="85"/>
      <c r="E91" s="85"/>
      <c r="F91" s="85"/>
      <c r="G91" s="85"/>
      <c r="H91" s="85"/>
      <c r="I91" s="85"/>
      <c r="J91" s="85"/>
      <c r="K91" s="85"/>
    </row>
    <row r="92" spans="2:11" ht="12" hidden="1" customHeight="1">
      <c r="B92" s="84"/>
      <c r="C92" s="85"/>
      <c r="D92" s="85"/>
      <c r="E92" s="85"/>
      <c r="F92" s="85"/>
      <c r="G92" s="85"/>
      <c r="H92" s="85"/>
      <c r="I92" s="85"/>
      <c r="J92" s="85"/>
      <c r="K92" s="85"/>
    </row>
    <row r="93" spans="2:11" ht="12" hidden="1" customHeight="1">
      <c r="B93" s="84"/>
      <c r="C93" s="85"/>
      <c r="D93" s="85"/>
      <c r="E93" s="85"/>
      <c r="F93" s="85"/>
      <c r="G93" s="85"/>
      <c r="H93" s="85"/>
      <c r="I93" s="85"/>
      <c r="J93" s="85"/>
      <c r="K93" s="85"/>
    </row>
    <row r="94" spans="2:11" ht="12" hidden="1" customHeight="1">
      <c r="B94" s="84"/>
      <c r="C94" s="85"/>
      <c r="D94" s="85"/>
      <c r="E94" s="85"/>
      <c r="F94" s="85"/>
      <c r="G94" s="85"/>
      <c r="H94" s="85"/>
      <c r="I94" s="85"/>
      <c r="J94" s="85"/>
      <c r="K94" s="85"/>
    </row>
    <row r="95" spans="2:11" ht="12" hidden="1" customHeight="1">
      <c r="B95" s="84"/>
      <c r="C95" s="85"/>
      <c r="D95" s="85"/>
      <c r="E95" s="85"/>
      <c r="F95" s="85"/>
      <c r="G95" s="85"/>
      <c r="H95" s="85"/>
      <c r="I95" s="85"/>
      <c r="J95" s="85"/>
      <c r="K95" s="85"/>
    </row>
    <row r="96" spans="2:11" ht="12" hidden="1" customHeight="1">
      <c r="B96" s="84"/>
      <c r="C96" s="85"/>
      <c r="D96" s="85"/>
      <c r="E96" s="85"/>
      <c r="F96" s="85"/>
      <c r="G96" s="85"/>
      <c r="H96" s="85"/>
      <c r="I96" s="85"/>
      <c r="J96" s="85"/>
      <c r="K96" s="85"/>
    </row>
    <row r="97" spans="2:11" ht="12" hidden="1" customHeight="1">
      <c r="B97" s="84"/>
      <c r="C97" s="85"/>
      <c r="D97" s="85"/>
      <c r="E97" s="85"/>
      <c r="F97" s="85"/>
      <c r="G97" s="85"/>
      <c r="H97" s="85"/>
      <c r="I97" s="85"/>
      <c r="J97" s="85"/>
      <c r="K97" s="85"/>
    </row>
    <row r="98" spans="2:11" ht="12" hidden="1" customHeight="1">
      <c r="B98" s="84"/>
      <c r="C98" s="85"/>
      <c r="D98" s="85"/>
      <c r="E98" s="85"/>
      <c r="F98" s="85"/>
      <c r="G98" s="85"/>
      <c r="H98" s="85"/>
      <c r="I98" s="85"/>
      <c r="J98" s="85"/>
      <c r="K98" s="85"/>
    </row>
    <row r="99" spans="2:11" ht="12" hidden="1" customHeight="1">
      <c r="B99" s="84"/>
      <c r="C99" s="85"/>
      <c r="D99" s="85"/>
      <c r="E99" s="85"/>
      <c r="F99" s="85"/>
      <c r="G99" s="85"/>
      <c r="H99" s="85"/>
      <c r="I99" s="85"/>
      <c r="J99" s="85"/>
      <c r="K99" s="85"/>
    </row>
    <row r="100" spans="2:11" ht="12" hidden="1" customHeight="1">
      <c r="B100" s="84"/>
      <c r="C100" s="85"/>
      <c r="D100" s="85"/>
      <c r="E100" s="85"/>
      <c r="F100" s="85"/>
      <c r="G100" s="85"/>
      <c r="H100" s="85"/>
      <c r="I100" s="85"/>
      <c r="J100" s="85"/>
      <c r="K100" s="85"/>
    </row>
    <row r="101" spans="2:11" ht="12" hidden="1" customHeight="1">
      <c r="B101" s="84"/>
      <c r="C101" s="85"/>
      <c r="D101" s="85"/>
      <c r="E101" s="85"/>
      <c r="F101" s="85"/>
      <c r="G101" s="85"/>
      <c r="H101" s="85"/>
      <c r="I101" s="85"/>
      <c r="J101" s="85"/>
      <c r="K101" s="85"/>
    </row>
    <row r="102" spans="2:11" ht="12" hidden="1" customHeight="1"/>
    <row r="103" spans="2:11" ht="12" hidden="1" customHeight="1"/>
    <row r="104" spans="2:11" ht="12" hidden="1" customHeight="1"/>
    <row r="105" spans="2:11" ht="12" hidden="1" customHeight="1"/>
    <row r="106" spans="2:11" ht="12" hidden="1" customHeight="1"/>
    <row r="107" spans="2:11" ht="12" hidden="1" customHeight="1"/>
    <row r="108" spans="2:11" ht="12" hidden="1" customHeight="1"/>
    <row r="109" spans="2:11" ht="12" hidden="1" customHeight="1"/>
    <row r="110" spans="2:11" ht="12" hidden="1" customHeight="1"/>
    <row r="111" spans="2:11" ht="12" hidden="1" customHeight="1"/>
    <row r="112" spans="2:11" ht="12" hidden="1" customHeight="1"/>
    <row r="113" ht="12" hidden="1" customHeight="1"/>
    <row r="114" ht="12" hidden="1" customHeight="1"/>
    <row r="115" ht="12" hidden="1" customHeight="1"/>
    <row r="116" ht="12" hidden="1" customHeight="1"/>
    <row r="117" ht="12" hidden="1" customHeight="1"/>
    <row r="118" ht="12" hidden="1" customHeight="1"/>
    <row r="119" ht="12" hidden="1" customHeight="1"/>
    <row r="120" ht="12" hidden="1" customHeight="1"/>
    <row r="121" ht="12" hidden="1" customHeight="1"/>
    <row r="122" ht="12" hidden="1" customHeight="1"/>
    <row r="123" ht="12" hidden="1" customHeight="1"/>
    <row r="124" ht="12" hidden="1" customHeight="1"/>
    <row r="125" ht="12" hidden="1" customHeight="1"/>
    <row r="126" ht="12" hidden="1" customHeight="1"/>
    <row r="127" ht="12" hidden="1" customHeight="1"/>
    <row r="128" ht="12" hidden="1" customHeight="1"/>
    <row r="129" ht="12" hidden="1" customHeight="1"/>
    <row r="130" ht="12" hidden="1" customHeight="1"/>
    <row r="131" ht="12" hidden="1" customHeight="1"/>
    <row r="132" ht="12" hidden="1" customHeight="1"/>
    <row r="133" ht="12" hidden="1" customHeight="1"/>
    <row r="134" ht="12" hidden="1" customHeight="1"/>
    <row r="135" ht="12" hidden="1" customHeight="1"/>
    <row r="136" ht="12" hidden="1" customHeight="1"/>
    <row r="137" ht="12" hidden="1" customHeight="1"/>
    <row r="138" ht="12" hidden="1" customHeight="1"/>
    <row r="139" ht="12" hidden="1" customHeight="1"/>
    <row r="140" ht="12" hidden="1" customHeight="1"/>
    <row r="141" ht="12" hidden="1" customHeight="1"/>
    <row r="142" ht="12" hidden="1" customHeight="1"/>
    <row r="143" ht="12" hidden="1" customHeight="1"/>
    <row r="144" ht="12" hidden="1" customHeight="1"/>
    <row r="145" ht="12" hidden="1" customHeight="1"/>
    <row r="146" ht="12" hidden="1" customHeight="1"/>
    <row r="147" ht="12" hidden="1" customHeight="1"/>
    <row r="148" ht="12" hidden="1" customHeight="1"/>
    <row r="149" ht="12" hidden="1" customHeight="1"/>
    <row r="150" ht="12" hidden="1" customHeight="1"/>
    <row r="151" ht="12" hidden="1" customHeight="1"/>
    <row r="152" ht="12" hidden="1" customHeight="1"/>
    <row r="153" ht="12" hidden="1" customHeight="1"/>
    <row r="154" ht="12" hidden="1" customHeight="1"/>
    <row r="155" ht="12" hidden="1" customHeight="1"/>
    <row r="156" ht="12" hidden="1" customHeight="1"/>
    <row r="157" ht="12" hidden="1" customHeight="1"/>
    <row r="158" ht="12" hidden="1" customHeight="1"/>
    <row r="159" ht="12" hidden="1" customHeight="1"/>
    <row r="160" ht="12" hidden="1" customHeight="1"/>
    <row r="161" ht="12" hidden="1" customHeight="1"/>
    <row r="162" ht="12" hidden="1" customHeight="1"/>
    <row r="163" ht="12" hidden="1" customHeight="1"/>
    <row r="164" ht="12" hidden="1" customHeight="1"/>
    <row r="165" ht="12" hidden="1" customHeight="1"/>
    <row r="166" ht="12" hidden="1" customHeight="1"/>
    <row r="167" ht="12" hidden="1" customHeight="1"/>
    <row r="168" ht="12" hidden="1" customHeight="1"/>
    <row r="169" ht="12" hidden="1" customHeight="1"/>
    <row r="170" ht="12" hidden="1" customHeight="1"/>
    <row r="171" ht="12" hidden="1" customHeight="1"/>
    <row r="172" ht="12" hidden="1" customHeight="1"/>
    <row r="173" ht="12" hidden="1" customHeight="1"/>
    <row r="174" ht="12" hidden="1" customHeight="1"/>
    <row r="175" ht="12" hidden="1" customHeight="1"/>
    <row r="176" ht="12" hidden="1" customHeight="1"/>
    <row r="177" ht="12" hidden="1" customHeight="1"/>
    <row r="178" ht="12" hidden="1" customHeight="1"/>
    <row r="179" ht="12" hidden="1" customHeight="1"/>
    <row r="180" ht="12" hidden="1" customHeight="1"/>
    <row r="181" ht="12" hidden="1" customHeight="1"/>
    <row r="182" ht="12" hidden="1" customHeight="1"/>
    <row r="183" ht="12" hidden="1" customHeight="1"/>
    <row r="184" ht="12" hidden="1" customHeight="1"/>
    <row r="185" ht="12" hidden="1" customHeight="1"/>
    <row r="186" ht="12" hidden="1" customHeight="1"/>
    <row r="187" ht="12" hidden="1" customHeight="1"/>
    <row r="188" ht="12" hidden="1" customHeight="1"/>
    <row r="189" ht="12" hidden="1" customHeight="1"/>
    <row r="190" ht="12" hidden="1" customHeight="1"/>
    <row r="191" ht="12" hidden="1" customHeight="1"/>
    <row r="192" ht="12" hidden="1" customHeight="1"/>
    <row r="193" ht="12" hidden="1" customHeight="1"/>
    <row r="194" ht="12" hidden="1" customHeight="1"/>
    <row r="195" ht="12" hidden="1" customHeight="1"/>
    <row r="196" ht="12" hidden="1" customHeight="1"/>
    <row r="197" ht="12" hidden="1" customHeight="1"/>
    <row r="198" ht="12" hidden="1" customHeight="1"/>
    <row r="199" ht="12" hidden="1" customHeight="1"/>
    <row r="200" ht="12" hidden="1" customHeight="1"/>
    <row r="201" ht="12" hidden="1" customHeight="1"/>
    <row r="202" ht="12" hidden="1" customHeight="1"/>
    <row r="203" ht="12" hidden="1" customHeight="1"/>
    <row r="204" ht="12" hidden="1" customHeight="1"/>
    <row r="205" ht="12" hidden="1" customHeight="1"/>
    <row r="206" ht="12" hidden="1" customHeight="1"/>
    <row r="207" ht="12" hidden="1" customHeight="1"/>
    <row r="208" ht="12" hidden="1" customHeight="1"/>
    <row r="209" ht="12" hidden="1" customHeight="1"/>
    <row r="210" ht="12" hidden="1" customHeight="1"/>
    <row r="211" ht="12" hidden="1" customHeight="1"/>
    <row r="212" ht="12" hidden="1" customHeight="1"/>
    <row r="213" ht="12" hidden="1" customHeight="1"/>
    <row r="214" ht="12" hidden="1" customHeight="1"/>
    <row r="215" ht="12" hidden="1" customHeight="1"/>
    <row r="216" ht="12" hidden="1" customHeight="1"/>
    <row r="217" ht="12" hidden="1" customHeight="1"/>
    <row r="218" ht="12" hidden="1" customHeight="1"/>
    <row r="219" ht="12" hidden="1" customHeight="1"/>
    <row r="220" ht="12" hidden="1" customHeight="1"/>
    <row r="221" ht="12" hidden="1" customHeight="1"/>
    <row r="222" ht="12" hidden="1" customHeight="1"/>
    <row r="223" ht="12" hidden="1" customHeight="1"/>
    <row r="224" ht="12" hidden="1" customHeight="1"/>
    <row r="225" ht="12" hidden="1" customHeight="1"/>
    <row r="226" ht="12" hidden="1" customHeight="1"/>
    <row r="227" ht="12" hidden="1" customHeight="1"/>
    <row r="228" ht="12" hidden="1" customHeight="1"/>
    <row r="229" ht="12" hidden="1" customHeight="1"/>
    <row r="230" ht="12" hidden="1" customHeight="1"/>
    <row r="231" ht="12" hidden="1" customHeight="1"/>
    <row r="232" ht="12" hidden="1" customHeight="1"/>
    <row r="233" ht="12" hidden="1" customHeight="1"/>
    <row r="234" ht="12" hidden="1" customHeight="1"/>
    <row r="235" ht="12" hidden="1" customHeight="1"/>
    <row r="236" ht="12" hidden="1" customHeight="1"/>
    <row r="237" ht="12" hidden="1" customHeight="1"/>
    <row r="238" ht="12" hidden="1" customHeight="1"/>
    <row r="239" ht="12" hidden="1" customHeight="1"/>
    <row r="240" ht="12" hidden="1" customHeight="1"/>
    <row r="241" ht="12" hidden="1" customHeight="1"/>
    <row r="242" ht="12" hidden="1" customHeight="1"/>
    <row r="243" ht="12" hidden="1" customHeight="1"/>
    <row r="244" ht="12" hidden="1" customHeight="1"/>
    <row r="245" ht="12" hidden="1" customHeight="1"/>
    <row r="246" ht="12" hidden="1" customHeight="1"/>
    <row r="247" ht="12" hidden="1" customHeight="1"/>
    <row r="248" ht="12" hidden="1" customHeight="1"/>
    <row r="249" ht="12" hidden="1" customHeight="1"/>
    <row r="250" ht="12" hidden="1" customHeight="1"/>
    <row r="251" ht="12" hidden="1" customHeight="1"/>
    <row r="252" ht="12" hidden="1" customHeight="1"/>
    <row r="253" ht="12" hidden="1" customHeight="1"/>
    <row r="254" ht="12" hidden="1" customHeight="1"/>
    <row r="255" ht="12" hidden="1" customHeight="1"/>
    <row r="256" ht="12" hidden="1" customHeight="1"/>
    <row r="257" ht="12" hidden="1" customHeight="1"/>
    <row r="258" ht="12" hidden="1" customHeight="1"/>
    <row r="259" ht="12" hidden="1" customHeight="1"/>
    <row r="260" ht="12" hidden="1" customHeight="1"/>
    <row r="261" ht="12" hidden="1" customHeight="1"/>
    <row r="262" ht="12" hidden="1" customHeight="1"/>
    <row r="263" ht="12" hidden="1" customHeight="1"/>
  </sheetData>
  <mergeCells count="4">
    <mergeCell ref="L53:L54"/>
    <mergeCell ref="K53:K54"/>
    <mergeCell ref="H6:J6"/>
    <mergeCell ref="I12:J12"/>
  </mergeCells>
  <phoneticPr fontId="54" type="noConversion"/>
  <pageMargins left="1.05" right="0.95" top="0.52" bottom="0.68" header="0.5" footer="0.5"/>
  <pageSetup scale="92" orientation="portrait" horizontalDpi="300" verticalDpi="300" r:id="rId1"/>
  <headerFooter alignWithMargins="0">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dimension ref="A1:K112"/>
  <sheetViews>
    <sheetView showZeros="0" defaultGridColor="0" colorId="8" zoomScaleNormal="100" workbookViewId="0">
      <selection activeCell="E1" sqref="E1"/>
    </sheetView>
  </sheetViews>
  <sheetFormatPr defaultColWidth="0" defaultRowHeight="0" customHeight="1" zeroHeight="1"/>
  <cols>
    <col min="1" max="1" width="20.375" style="189" customWidth="1"/>
    <col min="2" max="2" width="4.5" style="194" customWidth="1"/>
    <col min="3" max="3" width="23.75" style="191" customWidth="1"/>
    <col min="4" max="4" width="33.125" style="192" customWidth="1"/>
    <col min="5" max="5" width="10.125" style="183" customWidth="1"/>
    <col min="6" max="11" width="0" style="183" hidden="1" customWidth="1"/>
    <col min="12" max="16384" width="0" style="193" hidden="1"/>
  </cols>
  <sheetData>
    <row r="1" spans="1:11" s="178" customFormat="1" ht="27.6">
      <c r="A1" s="817" t="str">
        <f>+'99'!A1</f>
        <v>FALL ENROLLMENT 2021</v>
      </c>
      <c r="B1" s="197"/>
      <c r="C1" s="198"/>
      <c r="D1" s="199"/>
      <c r="E1" s="224">
        <f>IF(COUNT(C15:D75)&gt;0,1,0)</f>
        <v>1</v>
      </c>
    </row>
    <row r="2" spans="1:11" s="178" customFormat="1" ht="23.25" customHeight="1">
      <c r="A2" s="801" t="s">
        <v>234</v>
      </c>
      <c r="B2" s="801"/>
      <c r="C2" s="801"/>
      <c r="D2" s="801"/>
    </row>
    <row r="3" spans="1:11" s="178" customFormat="1" ht="20.100000000000001" customHeight="1">
      <c r="A3" s="223" t="str">
        <f>+'99'!A2</f>
        <v>2122</v>
      </c>
      <c r="B3" s="1044" t="str">
        <f>IF(E1=0,"",IF(E3&gt;0,"ERROR",""))</f>
        <v/>
      </c>
      <c r="C3" s="1045"/>
      <c r="D3" s="177"/>
      <c r="E3" s="224">
        <f>COUNTIF(B81:E81,"=ERROR")</f>
        <v>0</v>
      </c>
    </row>
    <row r="4" spans="1:11" s="179" customFormat="1" ht="14.25" customHeight="1" thickBot="1">
      <c r="A4" s="75" t="str">
        <f>'99'!A3</f>
        <v>Western Connecticut State University</v>
      </c>
      <c r="B4" s="1045"/>
      <c r="C4" s="1045"/>
      <c r="D4" s="80" t="str">
        <f>+'99'!N3</f>
        <v>Jerry Wilcox</v>
      </c>
      <c r="E4" s="178"/>
      <c r="F4" s="178"/>
      <c r="G4" s="178"/>
      <c r="H4" s="178"/>
      <c r="I4" s="178"/>
      <c r="J4" s="178"/>
      <c r="K4" s="178"/>
    </row>
    <row r="5" spans="1:11" s="178" customFormat="1" ht="15" customHeight="1" thickBot="1">
      <c r="A5" s="81">
        <f>'99'!A4</f>
        <v>130776</v>
      </c>
      <c r="B5" s="1045"/>
      <c r="C5" s="1045"/>
      <c r="D5" s="200" t="str">
        <f>+'99'!N4</f>
        <v>Director, Institutional Research and Assessment</v>
      </c>
    </row>
    <row r="6" spans="1:11" s="178" customFormat="1" ht="16.5" customHeight="1" thickBot="1">
      <c r="A6" s="76" t="str">
        <f>'99'!A5</f>
        <v>Danbury</v>
      </c>
      <c r="B6" s="1045"/>
      <c r="C6" s="1045"/>
      <c r="D6" s="43" t="str">
        <f>+'99'!N5</f>
        <v>203-837-8242</v>
      </c>
    </row>
    <row r="7" spans="1:11" s="178" customFormat="1" ht="0.75" hidden="1" customHeight="1">
      <c r="A7" s="195"/>
      <c r="B7" s="1045"/>
      <c r="C7" s="1045"/>
      <c r="D7" s="196"/>
    </row>
    <row r="8" spans="1:11" s="180" customFormat="1" ht="14.1" hidden="1" customHeight="1">
      <c r="A8" s="222"/>
      <c r="B8" s="222"/>
      <c r="C8" s="222"/>
      <c r="D8" s="222"/>
      <c r="E8" s="222"/>
    </row>
    <row r="9" spans="1:11" s="180" customFormat="1" ht="14.1" hidden="1" customHeight="1">
      <c r="A9" s="222"/>
      <c r="B9" s="222"/>
      <c r="C9" s="222"/>
      <c r="D9" s="222"/>
      <c r="E9" s="222"/>
    </row>
    <row r="10" spans="1:11" s="180" customFormat="1" ht="14.1" hidden="1" customHeight="1">
      <c r="A10" s="222"/>
      <c r="B10" s="222"/>
      <c r="C10" s="222"/>
      <c r="D10" s="222"/>
      <c r="E10" s="222"/>
    </row>
    <row r="11" spans="1:11" s="180" customFormat="1" ht="14.1" hidden="1" customHeight="1">
      <c r="A11" s="222"/>
      <c r="B11" s="222"/>
      <c r="C11" s="222"/>
      <c r="D11" s="222"/>
      <c r="E11" s="222"/>
    </row>
    <row r="12" spans="1:11" s="180" customFormat="1" ht="20.100000000000001" hidden="1" customHeight="1">
      <c r="A12" s="222"/>
      <c r="B12" s="222"/>
      <c r="C12" s="222"/>
      <c r="D12" s="222"/>
      <c r="E12" s="222"/>
    </row>
    <row r="13" spans="1:11" s="180" customFormat="1" ht="20.100000000000001" hidden="1" customHeight="1">
      <c r="A13" s="222"/>
      <c r="B13" s="222"/>
      <c r="C13" s="222"/>
      <c r="D13" s="222"/>
      <c r="E13" s="222"/>
    </row>
    <row r="14" spans="1:11" s="182" customFormat="1" ht="38.25" customHeight="1">
      <c r="A14" s="227" t="s">
        <v>235</v>
      </c>
      <c r="B14" s="228" t="s">
        <v>236</v>
      </c>
      <c r="C14" s="225" t="s">
        <v>237</v>
      </c>
      <c r="D14" s="226" t="s">
        <v>238</v>
      </c>
      <c r="E14" s="201"/>
      <c r="F14" s="181"/>
      <c r="G14" s="181"/>
      <c r="H14" s="181"/>
      <c r="I14" s="181"/>
      <c r="J14" s="181"/>
      <c r="K14" s="181"/>
    </row>
    <row r="15" spans="1:11" s="184" customFormat="1" ht="17.100000000000001" customHeight="1">
      <c r="A15" s="229" t="s">
        <v>239</v>
      </c>
      <c r="B15" s="230">
        <v>1</v>
      </c>
      <c r="C15" s="219"/>
      <c r="D15" s="220"/>
      <c r="E15" s="511">
        <f>IF(D15&gt;C15,"ERROR",0)</f>
        <v>0</v>
      </c>
      <c r="F15" s="183"/>
      <c r="G15" s="183"/>
      <c r="H15" s="183"/>
      <c r="I15" s="183"/>
      <c r="J15" s="183"/>
      <c r="K15" s="183"/>
    </row>
    <row r="16" spans="1:11" s="184" customFormat="1" ht="17.100000000000001" customHeight="1">
      <c r="A16" s="229" t="s">
        <v>240</v>
      </c>
      <c r="B16" s="230">
        <v>2</v>
      </c>
      <c r="C16" s="221"/>
      <c r="D16" s="220"/>
      <c r="E16" s="511">
        <f t="shared" ref="E16:E76" si="0">IF(D16&gt;C16,"ERROR",0)</f>
        <v>0</v>
      </c>
      <c r="F16" s="183"/>
      <c r="G16" s="183"/>
      <c r="H16" s="183"/>
      <c r="I16" s="183"/>
      <c r="J16" s="183"/>
      <c r="K16" s="183"/>
    </row>
    <row r="17" spans="1:11" s="184" customFormat="1" ht="17.100000000000001" customHeight="1">
      <c r="A17" s="229" t="s">
        <v>241</v>
      </c>
      <c r="B17" s="230">
        <v>4</v>
      </c>
      <c r="C17" s="221"/>
      <c r="D17" s="220"/>
      <c r="E17" s="511">
        <f t="shared" si="0"/>
        <v>0</v>
      </c>
      <c r="F17" s="183"/>
      <c r="G17" s="183"/>
      <c r="H17" s="183"/>
      <c r="I17" s="183"/>
      <c r="J17" s="183"/>
      <c r="K17" s="183"/>
    </row>
    <row r="18" spans="1:11" s="184" customFormat="1" ht="17.100000000000001" customHeight="1">
      <c r="A18" s="229" t="s">
        <v>242</v>
      </c>
      <c r="B18" s="230">
        <v>5</v>
      </c>
      <c r="C18" s="221"/>
      <c r="D18" s="220"/>
      <c r="E18" s="511">
        <f t="shared" si="0"/>
        <v>0</v>
      </c>
      <c r="F18" s="183"/>
      <c r="G18" s="183"/>
      <c r="H18" s="183"/>
      <c r="I18" s="183"/>
      <c r="J18" s="183"/>
      <c r="K18" s="183"/>
    </row>
    <row r="19" spans="1:11" s="184" customFormat="1" ht="17.100000000000001" customHeight="1">
      <c r="A19" s="229" t="s">
        <v>243</v>
      </c>
      <c r="B19" s="230">
        <v>6</v>
      </c>
      <c r="C19" s="221"/>
      <c r="D19" s="220"/>
      <c r="E19" s="511">
        <f t="shared" si="0"/>
        <v>0</v>
      </c>
      <c r="F19" s="183"/>
      <c r="G19" s="183"/>
      <c r="H19" s="183"/>
      <c r="I19" s="183"/>
      <c r="J19" s="183"/>
      <c r="K19" s="183"/>
    </row>
    <row r="20" spans="1:11" s="184" customFormat="1" ht="17.100000000000001" customHeight="1">
      <c r="A20" s="229" t="s">
        <v>244</v>
      </c>
      <c r="B20" s="230">
        <v>8</v>
      </c>
      <c r="C20" s="221"/>
      <c r="D20" s="220"/>
      <c r="E20" s="511">
        <f t="shared" si="0"/>
        <v>0</v>
      </c>
      <c r="F20" s="183"/>
      <c r="G20" s="183"/>
      <c r="H20" s="183"/>
      <c r="I20" s="183"/>
      <c r="J20" s="183"/>
      <c r="K20" s="183"/>
    </row>
    <row r="21" spans="1:11" s="184" customFormat="1" ht="17.100000000000001" customHeight="1">
      <c r="A21" s="229" t="s">
        <v>245</v>
      </c>
      <c r="B21" s="230">
        <v>9</v>
      </c>
      <c r="C21" s="221">
        <v>523</v>
      </c>
      <c r="D21" s="220">
        <v>414</v>
      </c>
      <c r="E21" s="511">
        <f t="shared" si="0"/>
        <v>0</v>
      </c>
      <c r="F21" s="183"/>
      <c r="G21" s="183"/>
      <c r="H21" s="183"/>
      <c r="I21" s="183"/>
      <c r="J21" s="183"/>
      <c r="K21" s="183"/>
    </row>
    <row r="22" spans="1:11" s="184" customFormat="1" ht="17.100000000000001" customHeight="1">
      <c r="A22" s="231" t="s">
        <v>246</v>
      </c>
      <c r="B22" s="230">
        <v>10</v>
      </c>
      <c r="C22" s="221"/>
      <c r="D22" s="220"/>
      <c r="E22" s="511">
        <f t="shared" si="0"/>
        <v>0</v>
      </c>
      <c r="F22" s="183"/>
      <c r="G22" s="183"/>
      <c r="H22" s="183"/>
      <c r="I22" s="183"/>
      <c r="J22" s="183"/>
      <c r="K22" s="183"/>
    </row>
    <row r="23" spans="1:11" s="184" customFormat="1" ht="17.100000000000001" customHeight="1">
      <c r="A23" s="229" t="s">
        <v>247</v>
      </c>
      <c r="B23" s="230">
        <v>11</v>
      </c>
      <c r="C23" s="221"/>
      <c r="D23" s="220"/>
      <c r="E23" s="511">
        <f t="shared" si="0"/>
        <v>0</v>
      </c>
      <c r="F23" s="183"/>
      <c r="G23" s="183"/>
      <c r="H23" s="183"/>
      <c r="I23" s="183"/>
      <c r="J23" s="183"/>
      <c r="K23" s="183"/>
    </row>
    <row r="24" spans="1:11" s="184" customFormat="1" ht="17.100000000000001" customHeight="1">
      <c r="A24" s="229" t="s">
        <v>248</v>
      </c>
      <c r="B24" s="230">
        <v>12</v>
      </c>
      <c r="C24" s="221">
        <v>1</v>
      </c>
      <c r="D24" s="220">
        <v>0</v>
      </c>
      <c r="E24" s="511">
        <f t="shared" si="0"/>
        <v>0</v>
      </c>
      <c r="F24" s="183"/>
      <c r="G24" s="183"/>
      <c r="H24" s="183"/>
      <c r="I24" s="183"/>
      <c r="J24" s="183"/>
      <c r="K24" s="183"/>
    </row>
    <row r="25" spans="1:11" s="184" customFormat="1" ht="17.100000000000001" customHeight="1">
      <c r="A25" s="229" t="s">
        <v>249</v>
      </c>
      <c r="B25" s="230">
        <v>13</v>
      </c>
      <c r="C25" s="221"/>
      <c r="D25" s="220"/>
      <c r="E25" s="511">
        <f t="shared" si="0"/>
        <v>0</v>
      </c>
      <c r="F25" s="183"/>
      <c r="G25" s="183"/>
      <c r="H25" s="183"/>
      <c r="I25" s="183"/>
      <c r="J25" s="183"/>
      <c r="K25" s="183"/>
    </row>
    <row r="26" spans="1:11" s="184" customFormat="1" ht="17.100000000000001" customHeight="1">
      <c r="A26" s="229" t="s">
        <v>250</v>
      </c>
      <c r="B26" s="230">
        <v>15</v>
      </c>
      <c r="C26" s="221"/>
      <c r="D26" s="220"/>
      <c r="E26" s="511">
        <f t="shared" si="0"/>
        <v>0</v>
      </c>
      <c r="F26" s="183"/>
      <c r="G26" s="183"/>
      <c r="H26" s="183"/>
      <c r="I26" s="183"/>
      <c r="J26" s="183"/>
      <c r="K26" s="183"/>
    </row>
    <row r="27" spans="1:11" s="184" customFormat="1" ht="17.100000000000001" customHeight="1">
      <c r="A27" s="229" t="s">
        <v>251</v>
      </c>
      <c r="B27" s="230">
        <v>16</v>
      </c>
      <c r="C27" s="221"/>
      <c r="D27" s="220"/>
      <c r="E27" s="511">
        <f t="shared" si="0"/>
        <v>0</v>
      </c>
      <c r="F27" s="183"/>
      <c r="G27" s="183"/>
      <c r="H27" s="183"/>
      <c r="I27" s="183"/>
      <c r="J27" s="183"/>
      <c r="K27" s="183"/>
    </row>
    <row r="28" spans="1:11" s="184" customFormat="1" ht="17.100000000000001" customHeight="1">
      <c r="A28" s="229" t="s">
        <v>252</v>
      </c>
      <c r="B28" s="230">
        <v>17</v>
      </c>
      <c r="C28" s="221">
        <v>1</v>
      </c>
      <c r="D28" s="220">
        <v>1</v>
      </c>
      <c r="E28" s="511">
        <f t="shared" si="0"/>
        <v>0</v>
      </c>
      <c r="F28" s="183"/>
      <c r="G28" s="183"/>
      <c r="H28" s="183"/>
      <c r="I28" s="183"/>
      <c r="J28" s="183"/>
      <c r="K28" s="183"/>
    </row>
    <row r="29" spans="1:11" s="184" customFormat="1" ht="17.100000000000001" customHeight="1">
      <c r="A29" s="229" t="s">
        <v>253</v>
      </c>
      <c r="B29" s="230">
        <v>18</v>
      </c>
      <c r="C29" s="221"/>
      <c r="D29" s="220"/>
      <c r="E29" s="511">
        <f t="shared" si="0"/>
        <v>0</v>
      </c>
      <c r="F29" s="183"/>
      <c r="G29" s="183"/>
      <c r="H29" s="183"/>
      <c r="I29" s="183"/>
      <c r="J29" s="183"/>
      <c r="K29" s="183"/>
    </row>
    <row r="30" spans="1:11" s="184" customFormat="1" ht="17.100000000000001" customHeight="1">
      <c r="A30" s="229" t="s">
        <v>254</v>
      </c>
      <c r="B30" s="230">
        <v>19</v>
      </c>
      <c r="C30" s="221"/>
      <c r="D30" s="220"/>
      <c r="E30" s="511">
        <f t="shared" si="0"/>
        <v>0</v>
      </c>
      <c r="F30" s="183"/>
      <c r="G30" s="183"/>
      <c r="H30" s="183"/>
      <c r="I30" s="183"/>
      <c r="J30" s="183"/>
      <c r="K30" s="183"/>
    </row>
    <row r="31" spans="1:11" s="184" customFormat="1" ht="17.100000000000001" customHeight="1">
      <c r="A31" s="229" t="s">
        <v>255</v>
      </c>
      <c r="B31" s="230">
        <v>20</v>
      </c>
      <c r="C31" s="221"/>
      <c r="D31" s="220"/>
      <c r="E31" s="511">
        <f t="shared" si="0"/>
        <v>0</v>
      </c>
      <c r="F31" s="183"/>
      <c r="G31" s="183"/>
      <c r="H31" s="183"/>
      <c r="I31" s="183"/>
      <c r="J31" s="183"/>
      <c r="K31" s="183"/>
    </row>
    <row r="32" spans="1:11" s="184" customFormat="1" ht="17.100000000000001" customHeight="1">
      <c r="A32" s="229" t="s">
        <v>256</v>
      </c>
      <c r="B32" s="230">
        <v>21</v>
      </c>
      <c r="C32" s="221"/>
      <c r="D32" s="220"/>
      <c r="E32" s="511">
        <f t="shared" si="0"/>
        <v>0</v>
      </c>
      <c r="F32" s="183"/>
      <c r="G32" s="183"/>
      <c r="H32" s="183"/>
      <c r="I32" s="183"/>
      <c r="J32" s="183"/>
      <c r="K32" s="183"/>
    </row>
    <row r="33" spans="1:11" s="184" customFormat="1" ht="17.100000000000001" customHeight="1">
      <c r="A33" s="229" t="s">
        <v>257</v>
      </c>
      <c r="B33" s="230">
        <v>22</v>
      </c>
      <c r="C33" s="221"/>
      <c r="D33" s="220"/>
      <c r="E33" s="511">
        <f t="shared" si="0"/>
        <v>0</v>
      </c>
      <c r="F33" s="183"/>
      <c r="G33" s="183"/>
      <c r="H33" s="183"/>
      <c r="I33" s="183"/>
      <c r="J33" s="183"/>
      <c r="K33" s="183"/>
    </row>
    <row r="34" spans="1:11" s="184" customFormat="1" ht="17.100000000000001" customHeight="1">
      <c r="A34" s="229" t="s">
        <v>258</v>
      </c>
      <c r="B34" s="230">
        <v>23</v>
      </c>
      <c r="C34" s="221">
        <v>2</v>
      </c>
      <c r="D34" s="220">
        <v>2</v>
      </c>
      <c r="E34" s="511">
        <f t="shared" si="0"/>
        <v>0</v>
      </c>
      <c r="F34" s="183"/>
      <c r="G34" s="183"/>
      <c r="H34" s="183"/>
      <c r="I34" s="183"/>
      <c r="J34" s="183"/>
      <c r="K34" s="183"/>
    </row>
    <row r="35" spans="1:11" s="184" customFormat="1" ht="17.100000000000001" customHeight="1">
      <c r="A35" s="229" t="s">
        <v>259</v>
      </c>
      <c r="B35" s="230">
        <v>24</v>
      </c>
      <c r="C35" s="221"/>
      <c r="D35" s="220"/>
      <c r="E35" s="511">
        <f t="shared" si="0"/>
        <v>0</v>
      </c>
      <c r="F35" s="183"/>
      <c r="G35" s="183"/>
      <c r="H35" s="183"/>
      <c r="I35" s="183"/>
      <c r="J35" s="183"/>
      <c r="K35" s="183"/>
    </row>
    <row r="36" spans="1:11" s="184" customFormat="1" ht="17.100000000000001" customHeight="1">
      <c r="A36" s="229" t="s">
        <v>260</v>
      </c>
      <c r="B36" s="230">
        <v>25</v>
      </c>
      <c r="C36" s="221">
        <v>5</v>
      </c>
      <c r="D36" s="220">
        <v>4</v>
      </c>
      <c r="E36" s="511">
        <f t="shared" si="0"/>
        <v>0</v>
      </c>
      <c r="F36" s="183"/>
      <c r="G36" s="183"/>
      <c r="H36" s="183"/>
      <c r="I36" s="183"/>
      <c r="J36" s="183"/>
      <c r="K36" s="183"/>
    </row>
    <row r="37" spans="1:11" s="184" customFormat="1" ht="17.100000000000001" customHeight="1">
      <c r="A37" s="229" t="s">
        <v>261</v>
      </c>
      <c r="B37" s="230">
        <v>26</v>
      </c>
      <c r="C37" s="221">
        <v>1</v>
      </c>
      <c r="D37" s="220">
        <v>1</v>
      </c>
      <c r="E37" s="511">
        <f t="shared" si="0"/>
        <v>0</v>
      </c>
      <c r="F37" s="183"/>
      <c r="G37" s="183"/>
      <c r="H37" s="183"/>
      <c r="I37" s="183"/>
      <c r="J37" s="183"/>
      <c r="K37" s="183"/>
    </row>
    <row r="38" spans="1:11" s="184" customFormat="1" ht="17.100000000000001" customHeight="1">
      <c r="A38" s="229" t="s">
        <v>262</v>
      </c>
      <c r="B38" s="230">
        <v>27</v>
      </c>
      <c r="C38" s="221"/>
      <c r="D38" s="220"/>
      <c r="E38" s="511">
        <f t="shared" si="0"/>
        <v>0</v>
      </c>
      <c r="F38" s="183"/>
      <c r="G38" s="183"/>
      <c r="H38" s="183"/>
      <c r="I38" s="183"/>
      <c r="J38" s="183"/>
      <c r="K38" s="183"/>
    </row>
    <row r="39" spans="1:11" s="184" customFormat="1" ht="17.100000000000001" customHeight="1">
      <c r="A39" s="229" t="s">
        <v>263</v>
      </c>
      <c r="B39" s="230">
        <v>28</v>
      </c>
      <c r="C39" s="221"/>
      <c r="D39" s="220"/>
      <c r="E39" s="511">
        <f t="shared" si="0"/>
        <v>0</v>
      </c>
      <c r="F39" s="183"/>
      <c r="G39" s="183"/>
      <c r="H39" s="183"/>
      <c r="I39" s="183"/>
      <c r="J39" s="183"/>
      <c r="K39" s="183"/>
    </row>
    <row r="40" spans="1:11" s="184" customFormat="1" ht="17.100000000000001" customHeight="1">
      <c r="A40" s="229" t="s">
        <v>264</v>
      </c>
      <c r="B40" s="230">
        <v>29</v>
      </c>
      <c r="C40" s="221"/>
      <c r="D40" s="220"/>
      <c r="E40" s="511">
        <f t="shared" si="0"/>
        <v>0</v>
      </c>
      <c r="F40" s="183"/>
      <c r="G40" s="183"/>
      <c r="H40" s="183"/>
      <c r="I40" s="183"/>
      <c r="J40" s="183"/>
      <c r="K40" s="183"/>
    </row>
    <row r="41" spans="1:11" s="184" customFormat="1" ht="17.100000000000001" customHeight="1">
      <c r="A41" s="229" t="s">
        <v>265</v>
      </c>
      <c r="B41" s="230">
        <v>30</v>
      </c>
      <c r="C41" s="221"/>
      <c r="D41" s="220"/>
      <c r="E41" s="511">
        <f t="shared" si="0"/>
        <v>0</v>
      </c>
      <c r="F41" s="183"/>
      <c r="G41" s="183"/>
      <c r="H41" s="183"/>
      <c r="I41" s="183"/>
      <c r="J41" s="183"/>
      <c r="K41" s="183"/>
    </row>
    <row r="42" spans="1:11" s="184" customFormat="1" ht="17.100000000000001" customHeight="1">
      <c r="A42" s="229" t="s">
        <v>266</v>
      </c>
      <c r="B42" s="230">
        <v>31</v>
      </c>
      <c r="C42" s="221"/>
      <c r="D42" s="220"/>
      <c r="E42" s="511">
        <f t="shared" si="0"/>
        <v>0</v>
      </c>
      <c r="F42" s="183"/>
      <c r="G42" s="183"/>
      <c r="H42" s="183"/>
      <c r="I42" s="183"/>
      <c r="J42" s="183"/>
      <c r="K42" s="183"/>
    </row>
    <row r="43" spans="1:11" s="184" customFormat="1" ht="17.100000000000001" customHeight="1">
      <c r="A43" s="229" t="s">
        <v>267</v>
      </c>
      <c r="B43" s="230">
        <v>32</v>
      </c>
      <c r="C43" s="221">
        <v>1</v>
      </c>
      <c r="D43" s="220"/>
      <c r="E43" s="511">
        <f t="shared" si="0"/>
        <v>0</v>
      </c>
      <c r="F43" s="183"/>
      <c r="G43" s="183"/>
      <c r="H43" s="183"/>
      <c r="I43" s="183"/>
      <c r="J43" s="183"/>
      <c r="K43" s="183"/>
    </row>
    <row r="44" spans="1:11" s="184" customFormat="1" ht="17.100000000000001" customHeight="1">
      <c r="A44" s="229" t="s">
        <v>268</v>
      </c>
      <c r="B44" s="230">
        <v>33</v>
      </c>
      <c r="C44" s="221">
        <v>1</v>
      </c>
      <c r="D44" s="220">
        <v>1</v>
      </c>
      <c r="E44" s="511">
        <f t="shared" si="0"/>
        <v>0</v>
      </c>
      <c r="F44" s="183"/>
      <c r="G44" s="183"/>
      <c r="H44" s="183"/>
      <c r="I44" s="183"/>
      <c r="J44" s="183"/>
      <c r="K44" s="183"/>
    </row>
    <row r="45" spans="1:11" s="184" customFormat="1" ht="17.100000000000001" customHeight="1">
      <c r="A45" s="229" t="s">
        <v>269</v>
      </c>
      <c r="B45" s="230">
        <v>34</v>
      </c>
      <c r="C45" s="221">
        <v>14</v>
      </c>
      <c r="D45" s="220">
        <v>9</v>
      </c>
      <c r="E45" s="511">
        <f t="shared" si="0"/>
        <v>0</v>
      </c>
      <c r="F45" s="183"/>
      <c r="G45" s="183"/>
      <c r="H45" s="183"/>
      <c r="I45" s="183"/>
      <c r="J45" s="183"/>
      <c r="K45" s="183"/>
    </row>
    <row r="46" spans="1:11" s="184" customFormat="1" ht="17.100000000000001" customHeight="1">
      <c r="A46" s="229" t="s">
        <v>270</v>
      </c>
      <c r="B46" s="230">
        <v>35</v>
      </c>
      <c r="C46" s="221"/>
      <c r="D46" s="220"/>
      <c r="E46" s="511">
        <f t="shared" si="0"/>
        <v>0</v>
      </c>
      <c r="F46" s="183"/>
      <c r="G46" s="183"/>
      <c r="H46" s="183"/>
      <c r="I46" s="183"/>
      <c r="J46" s="183"/>
      <c r="K46" s="183"/>
    </row>
    <row r="47" spans="1:11" s="184" customFormat="1" ht="17.100000000000001" customHeight="1">
      <c r="A47" s="229" t="s">
        <v>271</v>
      </c>
      <c r="B47" s="230">
        <v>36</v>
      </c>
      <c r="C47" s="221">
        <v>178</v>
      </c>
      <c r="D47" s="220">
        <v>146</v>
      </c>
      <c r="E47" s="511">
        <f t="shared" si="0"/>
        <v>0</v>
      </c>
      <c r="F47" s="183"/>
      <c r="G47" s="183"/>
      <c r="H47" s="183"/>
      <c r="I47" s="183"/>
      <c r="J47" s="183"/>
      <c r="K47" s="183"/>
    </row>
    <row r="48" spans="1:11" s="184" customFormat="1" ht="17.100000000000001" customHeight="1">
      <c r="A48" s="229" t="s">
        <v>272</v>
      </c>
      <c r="B48" s="230">
        <v>37</v>
      </c>
      <c r="C48" s="221"/>
      <c r="D48" s="220"/>
      <c r="E48" s="511">
        <f t="shared" si="0"/>
        <v>0</v>
      </c>
      <c r="F48" s="183"/>
      <c r="G48" s="183"/>
      <c r="H48" s="183"/>
      <c r="I48" s="183"/>
      <c r="J48" s="183"/>
      <c r="K48" s="183"/>
    </row>
    <row r="49" spans="1:11" s="184" customFormat="1" ht="17.100000000000001" customHeight="1">
      <c r="A49" s="229" t="s">
        <v>273</v>
      </c>
      <c r="B49" s="230">
        <v>38</v>
      </c>
      <c r="C49" s="221"/>
      <c r="D49" s="220"/>
      <c r="E49" s="511">
        <f t="shared" si="0"/>
        <v>0</v>
      </c>
      <c r="F49" s="183"/>
      <c r="G49" s="183"/>
      <c r="H49" s="183"/>
      <c r="I49" s="183"/>
      <c r="J49" s="183"/>
      <c r="K49" s="183"/>
    </row>
    <row r="50" spans="1:11" s="184" customFormat="1" ht="17.100000000000001" customHeight="1">
      <c r="A50" s="229" t="s">
        <v>274</v>
      </c>
      <c r="B50" s="230">
        <v>39</v>
      </c>
      <c r="C50" s="221"/>
      <c r="D50" s="220"/>
      <c r="E50" s="511">
        <f t="shared" si="0"/>
        <v>0</v>
      </c>
      <c r="F50" s="183"/>
      <c r="G50" s="183"/>
      <c r="H50" s="183"/>
      <c r="I50" s="183"/>
      <c r="J50" s="183"/>
      <c r="K50" s="183"/>
    </row>
    <row r="51" spans="1:11" s="184" customFormat="1" ht="17.100000000000001" customHeight="1">
      <c r="A51" s="229" t="s">
        <v>275</v>
      </c>
      <c r="B51" s="230">
        <v>40</v>
      </c>
      <c r="C51" s="221"/>
      <c r="D51" s="220"/>
      <c r="E51" s="511">
        <f t="shared" si="0"/>
        <v>0</v>
      </c>
      <c r="F51" s="183"/>
      <c r="G51" s="183"/>
      <c r="H51" s="183"/>
      <c r="I51" s="183"/>
      <c r="J51" s="183"/>
      <c r="K51" s="183"/>
    </row>
    <row r="52" spans="1:11" s="184" customFormat="1" ht="17.100000000000001" customHeight="1">
      <c r="A52" s="229" t="s">
        <v>276</v>
      </c>
      <c r="B52" s="230">
        <v>41</v>
      </c>
      <c r="C52" s="221"/>
      <c r="D52" s="220"/>
      <c r="E52" s="511">
        <f t="shared" si="0"/>
        <v>0</v>
      </c>
      <c r="F52" s="183"/>
      <c r="G52" s="183"/>
      <c r="H52" s="183"/>
      <c r="I52" s="183"/>
      <c r="J52" s="183"/>
      <c r="K52" s="183"/>
    </row>
    <row r="53" spans="1:11" s="184" customFormat="1" ht="17.100000000000001" customHeight="1">
      <c r="A53" s="229" t="s">
        <v>277</v>
      </c>
      <c r="B53" s="230">
        <v>42</v>
      </c>
      <c r="C53" s="221">
        <v>1</v>
      </c>
      <c r="D53" s="220"/>
      <c r="E53" s="511">
        <f t="shared" si="0"/>
        <v>0</v>
      </c>
      <c r="F53" s="183"/>
      <c r="G53" s="183"/>
      <c r="H53" s="183"/>
      <c r="I53" s="183"/>
      <c r="J53" s="183"/>
      <c r="K53" s="183"/>
    </row>
    <row r="54" spans="1:11" s="184" customFormat="1" ht="17.100000000000001" customHeight="1">
      <c r="A54" s="229" t="s">
        <v>278</v>
      </c>
      <c r="B54" s="230">
        <v>44</v>
      </c>
      <c r="C54" s="221">
        <v>2</v>
      </c>
      <c r="D54" s="220">
        <v>2</v>
      </c>
      <c r="E54" s="511">
        <f t="shared" si="0"/>
        <v>0</v>
      </c>
      <c r="F54" s="183"/>
      <c r="G54" s="183"/>
      <c r="H54" s="183"/>
      <c r="I54" s="183"/>
      <c r="J54" s="183"/>
      <c r="K54" s="183"/>
    </row>
    <row r="55" spans="1:11" s="184" customFormat="1" ht="17.100000000000001" customHeight="1">
      <c r="A55" s="229" t="s">
        <v>279</v>
      </c>
      <c r="B55" s="230">
        <v>45</v>
      </c>
      <c r="C55" s="221"/>
      <c r="D55" s="220"/>
      <c r="E55" s="511">
        <f t="shared" si="0"/>
        <v>0</v>
      </c>
      <c r="F55" s="183"/>
      <c r="G55" s="183"/>
      <c r="H55" s="183"/>
      <c r="I55" s="183"/>
      <c r="J55" s="183"/>
      <c r="K55" s="183"/>
    </row>
    <row r="56" spans="1:11" s="184" customFormat="1" ht="17.100000000000001" customHeight="1">
      <c r="A56" s="229" t="s">
        <v>280</v>
      </c>
      <c r="B56" s="230">
        <v>46</v>
      </c>
      <c r="C56" s="221"/>
      <c r="D56" s="220"/>
      <c r="E56" s="511">
        <f t="shared" si="0"/>
        <v>0</v>
      </c>
      <c r="F56" s="183"/>
      <c r="G56" s="183"/>
      <c r="H56" s="183"/>
      <c r="I56" s="183"/>
      <c r="J56" s="183"/>
      <c r="K56" s="183"/>
    </row>
    <row r="57" spans="1:11" s="184" customFormat="1" ht="17.100000000000001" customHeight="1">
      <c r="A57" s="229" t="s">
        <v>281</v>
      </c>
      <c r="B57" s="230">
        <v>47</v>
      </c>
      <c r="C57" s="221"/>
      <c r="D57" s="220"/>
      <c r="E57" s="511">
        <f t="shared" si="0"/>
        <v>0</v>
      </c>
      <c r="F57" s="183"/>
      <c r="G57" s="183"/>
      <c r="H57" s="183"/>
      <c r="I57" s="183"/>
      <c r="J57" s="183"/>
      <c r="K57" s="183"/>
    </row>
    <row r="58" spans="1:11" s="184" customFormat="1" ht="17.100000000000001" customHeight="1">
      <c r="A58" s="229" t="s">
        <v>282</v>
      </c>
      <c r="B58" s="230">
        <v>48</v>
      </c>
      <c r="C58" s="221">
        <v>1</v>
      </c>
      <c r="D58" s="220"/>
      <c r="E58" s="511">
        <f t="shared" si="0"/>
        <v>0</v>
      </c>
      <c r="F58" s="183"/>
      <c r="G58" s="183"/>
      <c r="H58" s="183"/>
      <c r="I58" s="183"/>
      <c r="J58" s="183"/>
      <c r="K58" s="183"/>
    </row>
    <row r="59" spans="1:11" s="184" customFormat="1" ht="17.100000000000001" customHeight="1">
      <c r="A59" s="229" t="s">
        <v>283</v>
      </c>
      <c r="B59" s="230">
        <v>49</v>
      </c>
      <c r="C59" s="221"/>
      <c r="D59" s="220"/>
      <c r="E59" s="511">
        <f t="shared" si="0"/>
        <v>0</v>
      </c>
      <c r="F59" s="183"/>
      <c r="G59" s="183"/>
      <c r="H59" s="183"/>
      <c r="I59" s="183"/>
      <c r="J59" s="183"/>
      <c r="K59" s="183"/>
    </row>
    <row r="60" spans="1:11" s="184" customFormat="1" ht="17.100000000000001" customHeight="1">
      <c r="A60" s="229" t="s">
        <v>284</v>
      </c>
      <c r="B60" s="230">
        <v>50</v>
      </c>
      <c r="C60" s="221"/>
      <c r="D60" s="220"/>
      <c r="E60" s="511">
        <f t="shared" si="0"/>
        <v>0</v>
      </c>
      <c r="F60" s="183"/>
      <c r="G60" s="183"/>
      <c r="H60" s="183"/>
      <c r="I60" s="183"/>
      <c r="J60" s="183"/>
      <c r="K60" s="183"/>
    </row>
    <row r="61" spans="1:11" s="184" customFormat="1" ht="17.100000000000001" customHeight="1">
      <c r="A61" s="229" t="s">
        <v>285</v>
      </c>
      <c r="B61" s="230">
        <v>51</v>
      </c>
      <c r="C61" s="221">
        <v>1</v>
      </c>
      <c r="D61" s="220"/>
      <c r="E61" s="511">
        <f t="shared" si="0"/>
        <v>0</v>
      </c>
      <c r="F61" s="183"/>
      <c r="G61" s="183"/>
      <c r="H61" s="183"/>
      <c r="I61" s="183"/>
      <c r="J61" s="183"/>
      <c r="K61" s="183"/>
    </row>
    <row r="62" spans="1:11" s="184" customFormat="1" ht="17.100000000000001" customHeight="1">
      <c r="A62" s="229" t="s">
        <v>286</v>
      </c>
      <c r="B62" s="230">
        <v>53</v>
      </c>
      <c r="C62" s="221">
        <v>1</v>
      </c>
      <c r="D62" s="220"/>
      <c r="E62" s="511">
        <f t="shared" si="0"/>
        <v>0</v>
      </c>
      <c r="F62" s="183"/>
      <c r="G62" s="183"/>
      <c r="H62" s="183"/>
      <c r="I62" s="183"/>
      <c r="J62" s="183"/>
      <c r="K62" s="183"/>
    </row>
    <row r="63" spans="1:11" s="184" customFormat="1" ht="17.100000000000001" customHeight="1">
      <c r="A63" s="229" t="s">
        <v>287</v>
      </c>
      <c r="B63" s="230">
        <v>54</v>
      </c>
      <c r="C63" s="221"/>
      <c r="D63" s="220"/>
      <c r="E63" s="511">
        <f t="shared" si="0"/>
        <v>0</v>
      </c>
      <c r="F63" s="183"/>
      <c r="G63" s="183"/>
      <c r="H63" s="183"/>
      <c r="I63" s="183"/>
      <c r="J63" s="183"/>
      <c r="K63" s="183"/>
    </row>
    <row r="64" spans="1:11" s="184" customFormat="1" ht="17.100000000000001" customHeight="1">
      <c r="A64" s="229" t="s">
        <v>288</v>
      </c>
      <c r="B64" s="230">
        <v>55</v>
      </c>
      <c r="C64" s="221"/>
      <c r="D64" s="220"/>
      <c r="E64" s="511">
        <f t="shared" si="0"/>
        <v>0</v>
      </c>
      <c r="F64" s="183"/>
      <c r="G64" s="183"/>
      <c r="H64" s="183"/>
      <c r="I64" s="183"/>
      <c r="J64" s="183"/>
      <c r="K64" s="183"/>
    </row>
    <row r="65" spans="1:11" s="184" customFormat="1" ht="17.100000000000001" customHeight="1">
      <c r="A65" s="229" t="s">
        <v>289</v>
      </c>
      <c r="B65" s="230">
        <v>56</v>
      </c>
      <c r="C65" s="221"/>
      <c r="D65" s="220"/>
      <c r="E65" s="511">
        <f t="shared" si="0"/>
        <v>0</v>
      </c>
      <c r="F65" s="183"/>
      <c r="G65" s="183"/>
      <c r="H65" s="183"/>
      <c r="I65" s="183"/>
      <c r="J65" s="183"/>
      <c r="K65" s="183"/>
    </row>
    <row r="66" spans="1:11" s="184" customFormat="1" ht="17.100000000000001" customHeight="1">
      <c r="A66" s="229" t="s">
        <v>290</v>
      </c>
      <c r="B66" s="230">
        <v>57</v>
      </c>
      <c r="C66" s="221"/>
      <c r="D66" s="220"/>
      <c r="E66" s="511">
        <f t="shared" si="0"/>
        <v>0</v>
      </c>
      <c r="F66" s="183"/>
      <c r="G66" s="183"/>
      <c r="H66" s="183"/>
      <c r="I66" s="183"/>
      <c r="J66" s="183"/>
      <c r="K66" s="183"/>
    </row>
    <row r="67" spans="1:11" s="184" customFormat="1" ht="17.100000000000001" customHeight="1">
      <c r="A67" s="229" t="s">
        <v>291</v>
      </c>
      <c r="B67" s="230">
        <v>60</v>
      </c>
      <c r="C67" s="221"/>
      <c r="D67" s="220"/>
      <c r="E67" s="511">
        <f t="shared" si="0"/>
        <v>0</v>
      </c>
      <c r="F67" s="183"/>
      <c r="G67" s="183"/>
      <c r="H67" s="183"/>
      <c r="I67" s="183"/>
      <c r="J67" s="183"/>
      <c r="K67" s="183"/>
    </row>
    <row r="68" spans="1:11" s="184" customFormat="1" ht="27.75" customHeight="1">
      <c r="A68" s="232" t="s">
        <v>292</v>
      </c>
      <c r="B68" s="230">
        <v>64</v>
      </c>
      <c r="C68" s="221"/>
      <c r="D68" s="220"/>
      <c r="E68" s="511">
        <f t="shared" si="0"/>
        <v>0</v>
      </c>
      <c r="F68" s="183"/>
      <c r="G68" s="183"/>
      <c r="H68" s="183"/>
      <c r="I68" s="183"/>
      <c r="J68" s="183"/>
      <c r="K68" s="183"/>
    </row>
    <row r="69" spans="1:11" s="184" customFormat="1" ht="17.100000000000001" customHeight="1">
      <c r="A69" s="229" t="s">
        <v>293</v>
      </c>
      <c r="B69" s="230">
        <v>66</v>
      </c>
      <c r="C69" s="221"/>
      <c r="D69" s="220"/>
      <c r="E69" s="511">
        <f t="shared" si="0"/>
        <v>0</v>
      </c>
      <c r="F69" s="183"/>
      <c r="G69" s="183"/>
      <c r="H69" s="183"/>
      <c r="I69" s="183"/>
      <c r="J69" s="183"/>
      <c r="K69" s="183"/>
    </row>
    <row r="70" spans="1:11" s="184" customFormat="1" ht="17.100000000000001" customHeight="1">
      <c r="A70" s="229" t="s">
        <v>294</v>
      </c>
      <c r="B70" s="230">
        <v>68</v>
      </c>
      <c r="C70" s="221"/>
      <c r="D70" s="220"/>
      <c r="E70" s="511">
        <f t="shared" si="0"/>
        <v>0</v>
      </c>
      <c r="F70" s="183"/>
      <c r="G70" s="183"/>
      <c r="H70" s="183"/>
      <c r="I70" s="183"/>
      <c r="J70" s="183"/>
      <c r="K70" s="183"/>
    </row>
    <row r="71" spans="1:11" s="184" customFormat="1" ht="17.100000000000001" customHeight="1">
      <c r="A71" s="229" t="s">
        <v>295</v>
      </c>
      <c r="B71" s="230">
        <v>69</v>
      </c>
      <c r="C71" s="221"/>
      <c r="D71" s="220"/>
      <c r="E71" s="511">
        <f t="shared" si="0"/>
        <v>0</v>
      </c>
      <c r="F71" s="183"/>
      <c r="G71" s="183"/>
      <c r="H71" s="183"/>
      <c r="I71" s="183"/>
      <c r="J71" s="183"/>
      <c r="K71" s="183"/>
    </row>
    <row r="72" spans="1:11" s="184" customFormat="1" ht="17.100000000000001" customHeight="1">
      <c r="A72" s="229" t="s">
        <v>296</v>
      </c>
      <c r="B72" s="230">
        <v>70</v>
      </c>
      <c r="C72" s="221"/>
      <c r="D72" s="220"/>
      <c r="E72" s="511">
        <f t="shared" si="0"/>
        <v>0</v>
      </c>
      <c r="F72" s="183"/>
      <c r="G72" s="183"/>
      <c r="H72" s="183"/>
      <c r="I72" s="183"/>
      <c r="J72" s="183"/>
      <c r="K72" s="183"/>
    </row>
    <row r="73" spans="1:11" s="184" customFormat="1" ht="17.100000000000001" customHeight="1">
      <c r="A73" s="229" t="s">
        <v>297</v>
      </c>
      <c r="B73" s="230">
        <v>72</v>
      </c>
      <c r="C73" s="221"/>
      <c r="D73" s="220"/>
      <c r="E73" s="511">
        <f t="shared" si="0"/>
        <v>0</v>
      </c>
      <c r="F73" s="183"/>
      <c r="G73" s="183"/>
      <c r="H73" s="183"/>
      <c r="I73" s="183"/>
      <c r="J73" s="183"/>
      <c r="K73" s="183"/>
    </row>
    <row r="74" spans="1:11" s="184" customFormat="1" ht="17.100000000000001" customHeight="1">
      <c r="A74" s="229" t="s">
        <v>298</v>
      </c>
      <c r="B74" s="230">
        <v>78</v>
      </c>
      <c r="C74" s="221"/>
      <c r="D74" s="220"/>
      <c r="E74" s="511">
        <f t="shared" si="0"/>
        <v>0</v>
      </c>
      <c r="F74" s="183"/>
      <c r="G74" s="183"/>
      <c r="H74" s="183"/>
      <c r="I74" s="183"/>
      <c r="J74" s="183"/>
      <c r="K74" s="183"/>
    </row>
    <row r="75" spans="1:11" s="184" customFormat="1" ht="17.100000000000001" customHeight="1">
      <c r="A75" s="229" t="s">
        <v>299</v>
      </c>
      <c r="B75" s="230">
        <v>90</v>
      </c>
      <c r="C75" s="221"/>
      <c r="D75" s="220"/>
      <c r="E75" s="511">
        <f t="shared" si="0"/>
        <v>0</v>
      </c>
      <c r="F75" s="183"/>
      <c r="G75" s="183"/>
      <c r="H75" s="183"/>
      <c r="I75" s="183"/>
      <c r="J75" s="183"/>
      <c r="K75" s="183"/>
    </row>
    <row r="76" spans="1:11" s="186" customFormat="1" ht="17.100000000000001" customHeight="1">
      <c r="A76" s="233" t="s">
        <v>300</v>
      </c>
      <c r="B76" s="234">
        <v>99</v>
      </c>
      <c r="C76" s="202">
        <f>SUM(C15:C75)</f>
        <v>733</v>
      </c>
      <c r="D76" s="486">
        <f>SUM(D15:D75)</f>
        <v>580</v>
      </c>
      <c r="E76" s="511">
        <f t="shared" si="0"/>
        <v>0</v>
      </c>
      <c r="F76" s="185"/>
      <c r="G76" s="185"/>
      <c r="H76" s="185"/>
      <c r="I76" s="185"/>
      <c r="J76" s="185"/>
      <c r="K76" s="185"/>
    </row>
    <row r="77" spans="1:11" s="183" customFormat="1" ht="12" customHeight="1">
      <c r="B77" s="187"/>
      <c r="C77" s="188"/>
      <c r="D77" s="188"/>
      <c r="E77" s="641">
        <f>COUNTIF(E15:E76,"=error")</f>
        <v>0</v>
      </c>
    </row>
    <row r="78" spans="1:11" s="183" customFormat="1" ht="24.75" customHeight="1">
      <c r="A78" s="1046" t="str">
        <f>+'99'!A1</f>
        <v>FALL ENROLLMENT 2021</v>
      </c>
      <c r="B78" s="1046"/>
      <c r="C78" s="1046"/>
      <c r="D78" s="1046"/>
      <c r="E78" s="1046"/>
    </row>
    <row r="79" spans="1:11" s="183" customFormat="1" ht="23.25" customHeight="1">
      <c r="A79" s="801" t="str">
        <f>A2</f>
        <v>PART C: RESIDENCE OF FIRST-TIME FRESHMEN</v>
      </c>
      <c r="B79" s="187"/>
      <c r="C79" s="188"/>
      <c r="D79" s="188"/>
      <c r="E79" s="641"/>
    </row>
    <row r="80" spans="1:11" s="183" customFormat="1" ht="18" customHeight="1">
      <c r="A80" s="801"/>
      <c r="B80" s="187"/>
      <c r="C80" s="188"/>
      <c r="D80" s="188"/>
      <c r="E80" s="641"/>
    </row>
    <row r="81" spans="1:5" ht="22.5" customHeight="1">
      <c r="A81" s="235" t="s">
        <v>301</v>
      </c>
      <c r="B81" s="535" t="str">
        <f>IF(E1=0,"",IF(C82=C83,"COLUMN 1 OK","ERROR"))</f>
        <v>COLUMN 1 OK</v>
      </c>
      <c r="C81" s="236"/>
      <c r="D81" s="188"/>
      <c r="E81" s="642" t="str">
        <f>IF(E1=0,"",IF(E77=0,"COLUMN 2 OK","ERROR"))</f>
        <v>COLUMN 2 OK</v>
      </c>
    </row>
    <row r="82" spans="1:5" ht="13.15">
      <c r="A82" s="236" t="s">
        <v>302</v>
      </c>
      <c r="B82" s="237"/>
      <c r="C82" s="238">
        <f>C76</f>
        <v>733</v>
      </c>
      <c r="D82" s="188"/>
    </row>
    <row r="83" spans="1:5" ht="13.15">
      <c r="A83" s="236" t="s">
        <v>303</v>
      </c>
      <c r="B83" s="237"/>
      <c r="C83" s="450">
        <f>'99'!W18+'99'!W48</f>
        <v>733</v>
      </c>
      <c r="D83" s="183"/>
    </row>
    <row r="84" spans="1:5" ht="13.15">
      <c r="A84" s="236" t="s">
        <v>304</v>
      </c>
      <c r="B84" s="237"/>
      <c r="C84" s="238">
        <f>C82-C83</f>
        <v>0</v>
      </c>
      <c r="D84" s="188"/>
    </row>
    <row r="85" spans="1:5" ht="20.100000000000001" hidden="1" customHeight="1">
      <c r="A85" s="183"/>
      <c r="B85" s="187"/>
      <c r="C85" s="188"/>
      <c r="D85" s="188"/>
    </row>
    <row r="86" spans="1:5" ht="20.100000000000001" hidden="1" customHeight="1">
      <c r="A86" s="183"/>
      <c r="B86" s="187"/>
      <c r="C86" s="188"/>
      <c r="D86" s="188"/>
    </row>
    <row r="87" spans="1:5" ht="20.100000000000001" hidden="1" customHeight="1">
      <c r="A87" s="183"/>
      <c r="B87" s="187"/>
      <c r="C87" s="188"/>
      <c r="D87" s="188"/>
    </row>
    <row r="88" spans="1:5" ht="20.100000000000001" hidden="1" customHeight="1">
      <c r="A88" s="183"/>
      <c r="B88" s="187"/>
      <c r="C88" s="188"/>
      <c r="D88" s="188"/>
    </row>
    <row r="89" spans="1:5" ht="20.100000000000001" hidden="1" customHeight="1">
      <c r="A89" s="183"/>
      <c r="B89" s="187"/>
      <c r="C89" s="188"/>
      <c r="D89" s="188"/>
    </row>
    <row r="90" spans="1:5" ht="20.100000000000001" hidden="1" customHeight="1">
      <c r="A90" s="183"/>
      <c r="B90" s="187"/>
      <c r="C90" s="188"/>
      <c r="D90" s="188"/>
    </row>
    <row r="91" spans="1:5" ht="20.100000000000001" hidden="1" customHeight="1">
      <c r="A91" s="183"/>
      <c r="B91" s="187"/>
      <c r="C91" s="188"/>
      <c r="D91" s="188"/>
    </row>
    <row r="92" spans="1:5" ht="20.100000000000001" hidden="1" customHeight="1">
      <c r="A92" s="183"/>
      <c r="B92" s="187"/>
      <c r="C92" s="188"/>
      <c r="D92" s="188"/>
    </row>
    <row r="93" spans="1:5" ht="20.100000000000001" hidden="1" customHeight="1">
      <c r="A93" s="183"/>
      <c r="B93" s="187"/>
      <c r="C93" s="188"/>
      <c r="D93" s="188"/>
    </row>
    <row r="94" spans="1:5" ht="20.100000000000001" hidden="1" customHeight="1">
      <c r="A94" s="183"/>
      <c r="B94" s="187"/>
      <c r="C94" s="188"/>
      <c r="D94" s="188"/>
    </row>
    <row r="95" spans="1:5" ht="20.100000000000001" hidden="1" customHeight="1">
      <c r="A95" s="183"/>
      <c r="B95" s="187"/>
      <c r="C95" s="188"/>
      <c r="D95" s="188"/>
    </row>
    <row r="96" spans="1:5" ht="20.100000000000001" hidden="1" customHeight="1">
      <c r="A96" s="183"/>
      <c r="B96" s="187"/>
      <c r="C96" s="188"/>
      <c r="D96" s="188"/>
    </row>
    <row r="97" spans="1:4" ht="20.100000000000001" hidden="1" customHeight="1">
      <c r="A97" s="183"/>
      <c r="B97" s="187"/>
      <c r="C97" s="188"/>
      <c r="D97" s="188"/>
    </row>
    <row r="98" spans="1:4" ht="20.100000000000001" hidden="1" customHeight="1">
      <c r="B98" s="190"/>
    </row>
    <row r="99" spans="1:4" ht="20.100000000000001" hidden="1" customHeight="1">
      <c r="B99" s="190"/>
    </row>
    <row r="100" spans="1:4" ht="20.100000000000001" hidden="1" customHeight="1">
      <c r="B100" s="190"/>
    </row>
    <row r="101" spans="1:4" ht="20.100000000000001" hidden="1" customHeight="1">
      <c r="B101" s="190"/>
    </row>
    <row r="102" spans="1:4" ht="20.100000000000001" hidden="1" customHeight="1">
      <c r="B102" s="190"/>
    </row>
    <row r="103" spans="1:4" ht="20.100000000000001" hidden="1" customHeight="1">
      <c r="B103" s="190"/>
    </row>
    <row r="104" spans="1:4" ht="20.100000000000001" hidden="1" customHeight="1">
      <c r="B104" s="190"/>
    </row>
    <row r="105" spans="1:4" ht="20.100000000000001" hidden="1" customHeight="1">
      <c r="B105" s="190"/>
    </row>
    <row r="106" spans="1:4" ht="20.100000000000001" hidden="1" customHeight="1">
      <c r="B106" s="190"/>
    </row>
    <row r="107" spans="1:4" ht="20.100000000000001" hidden="1" customHeight="1">
      <c r="B107" s="190"/>
    </row>
    <row r="108" spans="1:4" ht="20.100000000000001" hidden="1" customHeight="1">
      <c r="B108" s="190"/>
    </row>
    <row r="109" spans="1:4" ht="20.100000000000001" hidden="1" customHeight="1">
      <c r="B109" s="190"/>
    </row>
    <row r="110" spans="1:4" ht="20.100000000000001" hidden="1" customHeight="1">
      <c r="B110" s="190"/>
    </row>
    <row r="111" spans="1:4" ht="20.100000000000001" hidden="1" customHeight="1">
      <c r="B111" s="190"/>
    </row>
    <row r="112" spans="1:4" ht="20.100000000000001" hidden="1" customHeight="1">
      <c r="B112" s="190"/>
    </row>
  </sheetData>
  <mergeCells count="2">
    <mergeCell ref="B3:C7"/>
    <mergeCell ref="A78:E78"/>
  </mergeCells>
  <phoneticPr fontId="54" type="noConversion"/>
  <pageMargins left="1" right="1" top="0.52" bottom="0.68" header="0.5" footer="0.5"/>
  <pageSetup scale="84" fitToHeight="3" orientation="portrait" horizontalDpi="300" verticalDpi="300" r:id="rId1"/>
  <headerFooter alignWithMargins="0">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7">
    <pageSetUpPr fitToPage="1"/>
  </sheetPr>
  <dimension ref="A1:AB102"/>
  <sheetViews>
    <sheetView zoomScaleNormal="100" workbookViewId="0">
      <selection activeCell="I18" sqref="I18"/>
    </sheetView>
  </sheetViews>
  <sheetFormatPr defaultColWidth="9" defaultRowHeight="15.6"/>
  <cols>
    <col min="1" max="1" width="4" style="253" customWidth="1"/>
    <col min="2" max="2" width="3" style="253" customWidth="1"/>
    <col min="3" max="3" width="3.75" style="253" customWidth="1"/>
    <col min="4" max="4" width="18.375" style="253" customWidth="1"/>
    <col min="5" max="5" width="8.375" style="268" customWidth="1"/>
    <col min="6" max="6" width="3.875" style="268" customWidth="1"/>
    <col min="7" max="7" width="4.125" style="253" customWidth="1"/>
    <col min="8" max="8" width="2.75" style="253" customWidth="1"/>
    <col min="9" max="9" width="9.25" style="253" customWidth="1"/>
    <col min="10" max="10" width="2.5" style="253" customWidth="1"/>
    <col min="11" max="11" width="5" style="253" customWidth="1"/>
    <col min="12" max="12" width="3.25" style="253" customWidth="1"/>
    <col min="13" max="13" width="11.375" style="253" customWidth="1"/>
    <col min="14" max="14" width="1.75" style="253" customWidth="1"/>
    <col min="15" max="15" width="11.875" style="253" customWidth="1"/>
    <col min="16" max="16" width="1.5" style="253" customWidth="1"/>
    <col min="17" max="17" width="15.875" style="253" customWidth="1"/>
    <col min="18" max="18" width="3" style="253" customWidth="1"/>
    <col min="19" max="16384" width="9" style="253"/>
  </cols>
  <sheetData>
    <row r="1" spans="1:26" ht="24.75" customHeight="1">
      <c r="A1" s="1060" t="str">
        <f>+'99'!A1</f>
        <v>FALL ENROLLMENT 2021</v>
      </c>
      <c r="B1" s="1061"/>
      <c r="C1" s="1061"/>
      <c r="D1" s="1061"/>
      <c r="E1" s="1061"/>
      <c r="F1" s="1061"/>
      <c r="G1" s="1061"/>
      <c r="H1" s="1061"/>
      <c r="I1" s="1061"/>
      <c r="J1" s="1061"/>
      <c r="K1" s="1061"/>
      <c r="L1" s="1061"/>
      <c r="M1" s="1061"/>
      <c r="N1" s="1061"/>
      <c r="O1" s="1061"/>
      <c r="P1" s="1061"/>
      <c r="Q1" s="1061"/>
      <c r="R1" s="875">
        <f>IF(OR(COUNT(M30:O38)&gt;0,(SUM(I12,I13,I14,I15)&gt;0)),1,0)</f>
        <v>1</v>
      </c>
      <c r="S1" s="252"/>
      <c r="T1" s="252"/>
      <c r="U1" s="252"/>
      <c r="V1" s="252"/>
      <c r="W1" s="252"/>
      <c r="X1" s="252"/>
      <c r="Y1" s="252"/>
      <c r="Z1" s="252"/>
    </row>
    <row r="2" spans="1:26" ht="25.5" customHeight="1">
      <c r="A2" s="1062" t="s">
        <v>305</v>
      </c>
      <c r="B2" s="1050"/>
      <c r="C2" s="1050"/>
      <c r="D2" s="1050"/>
      <c r="E2" s="1050"/>
      <c r="F2" s="1050"/>
      <c r="G2" s="1050"/>
      <c r="H2" s="1050"/>
      <c r="I2" s="1050"/>
      <c r="J2" s="1050"/>
      <c r="K2" s="1050"/>
      <c r="L2" s="1050"/>
      <c r="M2" s="1050"/>
      <c r="N2" s="1050"/>
      <c r="O2" s="1050"/>
      <c r="P2" s="1050"/>
      <c r="Q2" s="1050"/>
      <c r="R2" s="932">
        <f>IF(VALUE(I17)&gt;0,1,0)</f>
        <v>1</v>
      </c>
      <c r="S2" s="252"/>
      <c r="T2" s="252"/>
      <c r="U2" s="252"/>
      <c r="V2" s="252"/>
      <c r="W2" s="252"/>
      <c r="X2" s="252"/>
      <c r="Y2" s="252"/>
      <c r="Z2" s="252"/>
    </row>
    <row r="3" spans="1:26" ht="83.25" customHeight="1">
      <c r="A3" s="1058" t="s">
        <v>306</v>
      </c>
      <c r="B3" s="1160"/>
      <c r="C3" s="1160"/>
      <c r="D3" s="1160"/>
      <c r="E3" s="1160"/>
      <c r="F3" s="1160"/>
      <c r="G3" s="1160"/>
      <c r="H3" s="1160"/>
      <c r="I3" s="1160"/>
      <c r="J3" s="1160"/>
      <c r="K3" s="1160"/>
      <c r="L3" s="1160"/>
      <c r="M3" s="1160"/>
      <c r="N3" s="1160"/>
      <c r="O3" s="1160"/>
      <c r="P3" s="1160"/>
      <c r="Q3" s="1160"/>
      <c r="R3" s="1160"/>
      <c r="S3" s="252"/>
      <c r="T3" s="252"/>
      <c r="U3" s="252"/>
      <c r="V3" s="252"/>
      <c r="W3" s="252"/>
      <c r="X3" s="252"/>
      <c r="Y3" s="252"/>
      <c r="Z3" s="252"/>
    </row>
    <row r="4" spans="1:26" s="252" customFormat="1" ht="12" customHeight="1">
      <c r="A4" s="933"/>
      <c r="B4" s="934"/>
      <c r="C4" s="934"/>
      <c r="D4" s="934"/>
      <c r="E4" s="934"/>
      <c r="F4" s="934"/>
      <c r="G4" s="934"/>
      <c r="H4" s="934"/>
      <c r="I4" s="934"/>
      <c r="J4" s="934"/>
      <c r="K4" s="934"/>
      <c r="L4" s="934"/>
      <c r="M4" s="934"/>
      <c r="N4" s="934"/>
      <c r="O4" s="934"/>
      <c r="P4" s="934"/>
      <c r="Q4" s="934"/>
      <c r="R4" s="934"/>
    </row>
    <row r="5" spans="1:26" ht="9.75" customHeight="1">
      <c r="A5" s="223" t="str">
        <f>+'99'!A2</f>
        <v>2122</v>
      </c>
      <c r="B5" s="269"/>
      <c r="C5" s="269"/>
      <c r="D5" s="269"/>
      <c r="E5" s="254"/>
      <c r="F5" s="254"/>
      <c r="G5" s="254"/>
      <c r="H5" s="254"/>
      <c r="I5" s="254"/>
      <c r="J5" s="254"/>
      <c r="K5" s="254"/>
      <c r="L5" s="252"/>
      <c r="M5" s="252"/>
      <c r="N5" s="252"/>
      <c r="O5" s="252"/>
      <c r="P5" s="252"/>
      <c r="Q5" s="252"/>
      <c r="R5" s="252"/>
      <c r="S5" s="252"/>
      <c r="T5" s="252"/>
      <c r="U5" s="252"/>
      <c r="V5" s="252"/>
      <c r="W5" s="252"/>
      <c r="X5" s="252"/>
      <c r="Y5" s="252"/>
      <c r="Z5" s="252"/>
    </row>
    <row r="6" spans="1:26" ht="16.149999999999999" thickBot="1">
      <c r="A6" s="1161" t="str">
        <f>+'99'!A3</f>
        <v>Western Connecticut State University</v>
      </c>
      <c r="B6" s="1162"/>
      <c r="C6" s="1162"/>
      <c r="D6" s="1162"/>
      <c r="E6" s="1163"/>
      <c r="F6" s="255"/>
      <c r="G6" s="255"/>
      <c r="H6" s="252"/>
      <c r="I6" s="252"/>
      <c r="J6" s="255"/>
      <c r="K6" s="252"/>
      <c r="L6" s="252"/>
      <c r="M6" s="252"/>
      <c r="N6" s="256" t="s">
        <v>48</v>
      </c>
      <c r="O6" s="1164" t="str">
        <f>+'99'!N3</f>
        <v>Jerry Wilcox</v>
      </c>
      <c r="P6" s="877"/>
      <c r="Q6" s="877"/>
      <c r="R6" s="252"/>
      <c r="S6" s="252"/>
      <c r="T6" s="252"/>
      <c r="U6" s="252"/>
      <c r="V6" s="252"/>
      <c r="W6" s="252"/>
      <c r="X6" s="252"/>
      <c r="Y6" s="252"/>
      <c r="Z6" s="252"/>
    </row>
    <row r="7" spans="1:26" ht="16.149999999999999" thickBot="1">
      <c r="A7" s="1165">
        <f>'99'!A4</f>
        <v>130776</v>
      </c>
      <c r="B7" s="1166"/>
      <c r="C7" s="1166"/>
      <c r="D7" s="1167"/>
      <c r="E7" s="1163"/>
      <c r="F7" s="257"/>
      <c r="G7" s="258"/>
      <c r="H7" s="252"/>
      <c r="I7" s="252"/>
      <c r="J7" s="1168"/>
      <c r="K7" s="252"/>
      <c r="L7" s="252"/>
      <c r="M7" s="252"/>
      <c r="N7" s="256" t="s">
        <v>49</v>
      </c>
      <c r="O7" s="1169" t="str">
        <f>+'99'!N4</f>
        <v>Director, Institutional Research and Assessment</v>
      </c>
      <c r="P7" s="878"/>
      <c r="Q7" s="878"/>
      <c r="R7" s="252"/>
      <c r="S7" s="252"/>
      <c r="T7" s="252"/>
      <c r="U7" s="252"/>
      <c r="V7" s="252"/>
      <c r="W7" s="252"/>
      <c r="X7" s="252"/>
      <c r="Y7" s="252"/>
      <c r="Z7" s="252"/>
    </row>
    <row r="8" spans="1:26" ht="16.149999999999999" thickBot="1">
      <c r="A8" s="1165" t="str">
        <f>'99'!A5</f>
        <v>Danbury</v>
      </c>
      <c r="B8" s="1166"/>
      <c r="C8" s="1166"/>
      <c r="D8" s="1170"/>
      <c r="E8" s="1163"/>
      <c r="F8" s="257"/>
      <c r="G8" s="258"/>
      <c r="H8" s="252"/>
      <c r="I8" s="252"/>
      <c r="J8" s="1168"/>
      <c r="K8" s="252"/>
      <c r="L8" s="252"/>
      <c r="M8" s="252"/>
      <c r="N8" s="256" t="s">
        <v>50</v>
      </c>
      <c r="O8" s="1169" t="str">
        <f>+'99'!N5</f>
        <v>203-837-8242</v>
      </c>
      <c r="P8" s="878"/>
      <c r="Q8" s="879"/>
      <c r="R8" s="252"/>
      <c r="S8" s="252"/>
      <c r="T8" s="252"/>
      <c r="U8" s="252"/>
      <c r="V8" s="252"/>
      <c r="W8" s="252"/>
      <c r="X8" s="252"/>
      <c r="Y8" s="252"/>
      <c r="Z8" s="252"/>
    </row>
    <row r="9" spans="1:26" s="533" customFormat="1" ht="34.5" customHeight="1">
      <c r="A9" s="530" t="str">
        <f>"A) TOTAL ENTERING UNDERGRADUATE CLASS, "&amp;'99'!A$90</f>
        <v>A) TOTAL ENTERING UNDERGRADUATE CLASS, FALL 2021</v>
      </c>
      <c r="B9" s="531"/>
      <c r="C9" s="531"/>
      <c r="D9" s="531"/>
      <c r="E9" s="531"/>
      <c r="F9" s="532"/>
      <c r="G9" s="532"/>
      <c r="H9" s="532"/>
      <c r="I9" s="532"/>
      <c r="J9" s="532"/>
      <c r="K9" s="532"/>
      <c r="L9" s="531"/>
      <c r="M9" s="531"/>
      <c r="N9" s="531"/>
      <c r="O9" s="531"/>
      <c r="P9" s="531"/>
      <c r="Q9" s="531"/>
      <c r="R9" s="531"/>
      <c r="S9" s="531"/>
      <c r="T9" s="531"/>
      <c r="U9" s="531"/>
      <c r="V9" s="531"/>
      <c r="W9" s="531"/>
      <c r="X9" s="531"/>
      <c r="Y9" s="531"/>
      <c r="Z9" s="531"/>
    </row>
    <row r="10" spans="1:26" s="533" customFormat="1" ht="7.5" customHeight="1">
      <c r="A10" s="1171"/>
      <c r="B10" s="1050"/>
      <c r="C10" s="1050"/>
      <c r="D10" s="1050"/>
      <c r="E10" s="1050"/>
      <c r="F10" s="1050"/>
      <c r="G10" s="1050"/>
      <c r="H10" s="1050"/>
      <c r="I10" s="1050"/>
      <c r="J10" s="1050"/>
      <c r="K10" s="1050"/>
      <c r="L10" s="1050"/>
      <c r="M10" s="1050"/>
      <c r="N10" s="1050"/>
      <c r="O10" s="1050"/>
      <c r="P10" s="1050"/>
      <c r="Q10" s="1050"/>
      <c r="R10" s="531"/>
      <c r="S10" s="531"/>
      <c r="T10" s="531"/>
      <c r="U10" s="531"/>
      <c r="V10" s="531"/>
      <c r="W10" s="531"/>
      <c r="X10" s="531"/>
      <c r="Y10" s="531"/>
      <c r="Z10" s="531"/>
    </row>
    <row r="11" spans="1:26" ht="9.75" customHeight="1">
      <c r="A11" s="818"/>
      <c r="B11" s="819"/>
      <c r="C11" s="819"/>
      <c r="D11" s="819"/>
      <c r="E11" s="819"/>
      <c r="F11" s="819"/>
      <c r="G11" s="819"/>
      <c r="H11" s="819"/>
      <c r="I11" s="819"/>
      <c r="J11" s="819"/>
      <c r="K11" s="819"/>
      <c r="L11" s="819"/>
      <c r="M11" s="819"/>
      <c r="N11" s="819"/>
      <c r="O11" s="819"/>
      <c r="P11" s="252"/>
      <c r="Q11" s="252"/>
      <c r="R11" s="252"/>
      <c r="S11" s="252"/>
      <c r="T11" s="252"/>
      <c r="U11" s="252"/>
      <c r="V11" s="252"/>
      <c r="W11" s="252"/>
      <c r="X11" s="252"/>
      <c r="Y11" s="252"/>
      <c r="Z11" s="252"/>
    </row>
    <row r="12" spans="1:26" ht="31.5" customHeight="1">
      <c r="A12" s="868" t="s">
        <v>307</v>
      </c>
      <c r="B12" s="1063" t="s">
        <v>308</v>
      </c>
      <c r="C12" s="978"/>
      <c r="D12" s="978"/>
      <c r="E12" s="978"/>
      <c r="F12" s="978"/>
      <c r="G12" s="978"/>
      <c r="H12" s="869"/>
      <c r="I12" s="871">
        <f>'99'!W$18</f>
        <v>698</v>
      </c>
      <c r="J12" s="870"/>
      <c r="K12" s="872" t="s">
        <v>309</v>
      </c>
      <c r="L12" s="252"/>
      <c r="M12" s="252"/>
      <c r="N12" s="252"/>
      <c r="O12" s="252"/>
      <c r="P12" s="252"/>
      <c r="Q12" s="252"/>
      <c r="R12" s="252"/>
      <c r="S12" s="252"/>
      <c r="T12" s="252"/>
      <c r="U12" s="252"/>
      <c r="V12" s="252"/>
      <c r="W12" s="252"/>
      <c r="X12" s="252"/>
      <c r="Y12" s="252"/>
      <c r="Z12" s="252"/>
    </row>
    <row r="13" spans="1:26" ht="33" customHeight="1">
      <c r="A13" s="868" t="s">
        <v>310</v>
      </c>
      <c r="B13" s="1052" t="s">
        <v>311</v>
      </c>
      <c r="C13" s="1053"/>
      <c r="D13" s="1053"/>
      <c r="E13" s="1053"/>
      <c r="F13" s="1053"/>
      <c r="G13" s="1053"/>
      <c r="H13" s="1054"/>
      <c r="I13" s="871">
        <f>'99'!W$48+I12</f>
        <v>733</v>
      </c>
      <c r="J13" s="870"/>
      <c r="K13" s="872" t="s">
        <v>312</v>
      </c>
      <c r="L13" s="252"/>
      <c r="M13" s="252"/>
      <c r="N13" s="252"/>
      <c r="O13" s="252"/>
      <c r="P13" s="252"/>
      <c r="Q13" s="252"/>
      <c r="R13" s="252"/>
      <c r="S13" s="252"/>
      <c r="T13" s="252"/>
      <c r="U13" s="252"/>
      <c r="V13" s="252"/>
      <c r="W13" s="252"/>
      <c r="X13" s="252"/>
      <c r="Y13" s="252"/>
      <c r="Z13" s="252"/>
    </row>
    <row r="14" spans="1:26" ht="32.25" customHeight="1">
      <c r="A14" s="868" t="s">
        <v>313</v>
      </c>
      <c r="B14" s="1052" t="s">
        <v>314</v>
      </c>
      <c r="C14" s="1053"/>
      <c r="D14" s="1053"/>
      <c r="E14" s="1053"/>
      <c r="F14" s="1053"/>
      <c r="G14" s="1053"/>
      <c r="H14" s="1054"/>
      <c r="I14" s="871">
        <f>'99'!W19+'99'!W49</f>
        <v>314</v>
      </c>
      <c r="J14" s="870"/>
      <c r="K14" s="872" t="s">
        <v>315</v>
      </c>
      <c r="L14" s="252"/>
      <c r="M14" s="252"/>
      <c r="N14" s="252"/>
      <c r="O14" s="252"/>
      <c r="P14" s="252"/>
      <c r="Q14" s="252"/>
      <c r="R14" s="252"/>
      <c r="S14" s="252"/>
      <c r="T14" s="252"/>
      <c r="U14" s="252"/>
      <c r="V14" s="252"/>
      <c r="W14" s="252"/>
      <c r="X14" s="252"/>
      <c r="Y14" s="252"/>
      <c r="Z14" s="252"/>
    </row>
    <row r="15" spans="1:26" ht="34.5" customHeight="1">
      <c r="A15" s="868" t="s">
        <v>316</v>
      </c>
      <c r="B15" s="1053" t="s">
        <v>317</v>
      </c>
      <c r="C15" s="1053"/>
      <c r="D15" s="1053"/>
      <c r="E15" s="1053"/>
      <c r="F15" s="1053"/>
      <c r="G15" s="1053"/>
      <c r="H15" s="1054"/>
      <c r="I15" s="871">
        <f>'99'!W$25+'99'!W$55</f>
        <v>144</v>
      </c>
      <c r="J15" s="870"/>
      <c r="K15" s="872" t="s">
        <v>318</v>
      </c>
      <c r="L15" s="252"/>
      <c r="M15" s="252"/>
      <c r="N15" s="252"/>
      <c r="O15" s="252"/>
      <c r="P15" s="252"/>
      <c r="Q15" s="252"/>
      <c r="R15" s="252"/>
      <c r="S15" s="252"/>
      <c r="T15" s="252"/>
      <c r="U15" s="252"/>
      <c r="V15" s="252"/>
      <c r="W15" s="252"/>
      <c r="X15" s="252"/>
      <c r="Y15" s="252"/>
      <c r="Z15" s="252"/>
    </row>
    <row r="16" spans="1:26" ht="6" customHeight="1">
      <c r="A16" s="260"/>
      <c r="B16" s="252"/>
      <c r="C16" s="252"/>
      <c r="D16" s="252"/>
      <c r="E16" s="1163"/>
      <c r="F16" s="257"/>
      <c r="G16" s="252"/>
      <c r="H16" s="255"/>
      <c r="I16" s="640"/>
      <c r="J16" s="255"/>
      <c r="K16" s="255"/>
      <c r="L16" s="252"/>
      <c r="M16" s="252"/>
      <c r="N16" s="252"/>
      <c r="O16" s="252"/>
      <c r="P16" s="252"/>
      <c r="Q16" s="252"/>
      <c r="R16" s="252"/>
      <c r="S16" s="252"/>
      <c r="T16" s="252"/>
      <c r="U16" s="252"/>
      <c r="V16" s="252"/>
      <c r="W16" s="252"/>
      <c r="X16" s="252"/>
      <c r="Y16" s="252"/>
      <c r="Z16" s="252"/>
    </row>
    <row r="17" spans="1:28" ht="87.75" customHeight="1">
      <c r="A17" s="840" t="s">
        <v>319</v>
      </c>
      <c r="B17" s="1055" t="s">
        <v>320</v>
      </c>
      <c r="C17" s="1056"/>
      <c r="D17" s="1056"/>
      <c r="E17" s="1056"/>
      <c r="F17" s="1056"/>
      <c r="G17" s="1056"/>
      <c r="H17" s="911" t="s">
        <v>321</v>
      </c>
      <c r="I17" s="912">
        <v>79</v>
      </c>
      <c r="J17" s="255"/>
      <c r="K17" s="1057" t="s">
        <v>322</v>
      </c>
      <c r="L17" s="1058"/>
      <c r="M17" s="1058"/>
      <c r="N17" s="1058"/>
      <c r="O17" s="1058"/>
      <c r="P17" s="1058"/>
      <c r="Q17" s="1058"/>
      <c r="R17" s="252"/>
      <c r="S17" s="252"/>
      <c r="T17" s="252"/>
      <c r="U17" s="252"/>
      <c r="V17" s="252"/>
      <c r="W17" s="252"/>
      <c r="X17" s="252"/>
      <c r="Y17" s="252"/>
      <c r="Z17" s="252"/>
    </row>
    <row r="18" spans="1:28" ht="9.75" customHeight="1">
      <c r="B18" s="252"/>
      <c r="C18" s="252"/>
      <c r="D18" s="252"/>
      <c r="E18" s="1163"/>
      <c r="F18" s="257"/>
      <c r="G18" s="252"/>
      <c r="H18" s="255"/>
      <c r="I18" s="640"/>
      <c r="J18" s="255"/>
      <c r="K18" s="1172"/>
      <c r="L18" s="1051"/>
      <c r="M18" s="1051"/>
      <c r="N18" s="1051"/>
      <c r="O18" s="1051"/>
      <c r="P18" s="1051"/>
      <c r="Q18" s="1051"/>
      <c r="R18" s="252"/>
      <c r="S18" s="252"/>
      <c r="T18" s="252"/>
      <c r="U18" s="252"/>
      <c r="V18" s="252"/>
      <c r="W18" s="252"/>
      <c r="X18" s="252"/>
      <c r="Y18" s="252"/>
      <c r="Z18" s="252"/>
    </row>
    <row r="19" spans="1:28" ht="32.25" customHeight="1">
      <c r="A19" s="840" t="s">
        <v>323</v>
      </c>
      <c r="B19" s="1049" t="str">
        <f>"Total entering undergraduate class, "&amp;'99'!A92&amp;"  (sum of lines numbered s 2, 3, and 5)"</f>
        <v>Total entering undergraduate class, Fall 2021  (sum of lines numbered s 2, 3, and 5)</v>
      </c>
      <c r="C19" s="1050"/>
      <c r="D19" s="1050"/>
      <c r="E19" s="1050"/>
      <c r="F19" s="1050"/>
      <c r="G19" s="1050"/>
      <c r="H19" s="874" t="s">
        <v>324</v>
      </c>
      <c r="I19" s="876">
        <f>SUM(I13,I14,I17)</f>
        <v>1126</v>
      </c>
      <c r="J19" s="255"/>
      <c r="K19" s="1051"/>
      <c r="L19" s="1051"/>
      <c r="M19" s="1051"/>
      <c r="N19" s="1051"/>
      <c r="O19" s="1051"/>
      <c r="P19" s="1051"/>
      <c r="Q19" s="1051"/>
      <c r="R19" s="252"/>
      <c r="S19" s="252"/>
      <c r="T19" s="252"/>
      <c r="U19" s="252"/>
      <c r="V19" s="252"/>
      <c r="W19" s="252"/>
      <c r="X19" s="252"/>
      <c r="Y19" s="252"/>
      <c r="Z19" s="252"/>
    </row>
    <row r="20" spans="1:28" ht="8.25" customHeight="1">
      <c r="A20" s="261"/>
      <c r="B20" s="252"/>
      <c r="C20" s="252"/>
      <c r="D20" s="252"/>
      <c r="E20" s="1163"/>
      <c r="F20" s="257"/>
      <c r="G20" s="252"/>
      <c r="H20" s="255"/>
      <c r="I20" s="1173"/>
      <c r="J20" s="255"/>
      <c r="K20" s="1051"/>
      <c r="L20" s="1051"/>
      <c r="M20" s="1051"/>
      <c r="N20" s="1051"/>
      <c r="O20" s="1051"/>
      <c r="P20" s="1051"/>
      <c r="Q20" s="1051"/>
      <c r="R20" s="252"/>
      <c r="S20" s="252"/>
      <c r="T20" s="252"/>
      <c r="U20" s="252"/>
      <c r="V20" s="252"/>
      <c r="W20" s="252"/>
      <c r="X20" s="252"/>
      <c r="Y20" s="252"/>
      <c r="Z20" s="252"/>
    </row>
    <row r="21" spans="1:28" ht="32.25" customHeight="1">
      <c r="A21" s="840" t="s">
        <v>325</v>
      </c>
      <c r="B21" s="1049" t="s">
        <v>326</v>
      </c>
      <c r="C21" s="1050"/>
      <c r="D21" s="1050"/>
      <c r="E21" s="1050"/>
      <c r="F21" s="1050"/>
      <c r="G21" s="1050"/>
      <c r="H21" s="255"/>
      <c r="I21" s="873">
        <f>IF(I19&gt;0,I12/I19,"")</f>
        <v>0.61989342806394321</v>
      </c>
      <c r="J21" s="255"/>
      <c r="K21" s="1051"/>
      <c r="L21" s="1051"/>
      <c r="M21" s="1051"/>
      <c r="N21" s="1051"/>
      <c r="O21" s="1051"/>
      <c r="P21" s="1051"/>
      <c r="Q21" s="1051"/>
      <c r="R21" s="252"/>
      <c r="S21" s="252"/>
      <c r="T21" s="252"/>
      <c r="U21" s="252"/>
      <c r="V21" s="252"/>
      <c r="W21" s="252"/>
      <c r="X21" s="252"/>
      <c r="Y21" s="252"/>
      <c r="Z21" s="252"/>
    </row>
    <row r="22" spans="1:28" ht="3" customHeight="1">
      <c r="A22" s="252"/>
      <c r="B22" s="257"/>
      <c r="C22" s="252"/>
      <c r="D22" s="252"/>
      <c r="E22" s="1163"/>
      <c r="F22" s="255"/>
      <c r="G22" s="255"/>
      <c r="H22" s="255"/>
      <c r="I22" s="255"/>
      <c r="J22" s="255"/>
      <c r="K22" s="867"/>
      <c r="L22" s="867"/>
      <c r="M22" s="867"/>
      <c r="N22" s="867"/>
      <c r="O22" s="867"/>
      <c r="P22" s="867"/>
      <c r="Q22" s="252"/>
      <c r="R22" s="252"/>
      <c r="S22" s="252"/>
      <c r="T22" s="252"/>
      <c r="U22" s="252"/>
      <c r="V22" s="252"/>
      <c r="W22" s="252"/>
      <c r="X22" s="252"/>
      <c r="Y22" s="252"/>
      <c r="Z22" s="252"/>
    </row>
    <row r="23" spans="1:28" ht="21.75" customHeight="1">
      <c r="A23" s="252"/>
      <c r="B23" s="252"/>
      <c r="C23" s="252"/>
      <c r="D23" s="252"/>
      <c r="E23" s="1163"/>
      <c r="F23" s="255"/>
      <c r="G23" s="255"/>
      <c r="H23" s="255"/>
      <c r="I23" s="255"/>
      <c r="J23" s="255"/>
      <c r="K23" s="867"/>
      <c r="L23" s="867"/>
      <c r="M23" s="867"/>
      <c r="N23" s="867"/>
      <c r="O23" s="867"/>
      <c r="P23" s="867"/>
      <c r="Q23" s="252"/>
      <c r="R23" s="252"/>
      <c r="S23" s="252"/>
      <c r="T23" s="252"/>
      <c r="U23" s="252"/>
      <c r="V23" s="252"/>
      <c r="W23" s="252"/>
      <c r="X23" s="252"/>
      <c r="Y23" s="252"/>
      <c r="Z23" s="252"/>
    </row>
    <row r="24" spans="1:28" ht="21.75" customHeight="1">
      <c r="A24" s="530" t="str">
        <f>"B) REMEDIAL OR DEVELOPMENTAL COURSES, "&amp;'99'!A$90</f>
        <v>B) REMEDIAL OR DEVELOPMENTAL COURSES, FALL 2021</v>
      </c>
      <c r="B24" s="252"/>
      <c r="C24" s="252"/>
      <c r="D24" s="252"/>
      <c r="E24" s="1163"/>
      <c r="F24" s="255"/>
      <c r="G24" s="255"/>
      <c r="H24" s="255"/>
      <c r="I24" s="255"/>
      <c r="J24" s="255"/>
      <c r="K24" s="867"/>
      <c r="L24" s="867"/>
      <c r="M24" s="867"/>
      <c r="N24" s="867"/>
      <c r="O24" s="867"/>
      <c r="P24" s="867"/>
      <c r="Q24" s="252"/>
      <c r="R24" s="252"/>
      <c r="S24" s="252"/>
      <c r="T24" s="252"/>
      <c r="U24" s="252"/>
      <c r="V24" s="252"/>
      <c r="W24" s="252"/>
      <c r="X24" s="252"/>
      <c r="Y24" s="252"/>
      <c r="Z24" s="252"/>
    </row>
    <row r="25" spans="1:28" ht="4.5" customHeight="1">
      <c r="A25" s="259"/>
      <c r="B25" s="252"/>
      <c r="C25" s="252"/>
      <c r="D25" s="252"/>
      <c r="E25" s="1163"/>
      <c r="F25" s="255"/>
      <c r="G25" s="255"/>
      <c r="H25" s="255"/>
      <c r="I25" s="255"/>
      <c r="J25" s="255"/>
      <c r="K25" s="255"/>
      <c r="L25" s="252"/>
      <c r="M25" s="252"/>
      <c r="N25" s="252"/>
      <c r="O25" s="252"/>
      <c r="P25" s="252"/>
      <c r="Q25" s="252"/>
      <c r="R25" s="252"/>
      <c r="S25" s="252"/>
      <c r="T25" s="252"/>
      <c r="U25" s="252"/>
      <c r="V25" s="252"/>
      <c r="W25" s="252"/>
      <c r="X25" s="252"/>
      <c r="Y25" s="252"/>
      <c r="Z25" s="252"/>
    </row>
    <row r="26" spans="1:28" ht="32.25" customHeight="1">
      <c r="A26" s="1059" t="s">
        <v>327</v>
      </c>
      <c r="B26" s="1050"/>
      <c r="C26" s="1050"/>
      <c r="D26" s="1050"/>
      <c r="E26" s="1050"/>
      <c r="F26" s="1050"/>
      <c r="G26" s="1050"/>
      <c r="H26" s="1050"/>
      <c r="I26" s="1050"/>
      <c r="J26" s="1050"/>
      <c r="K26" s="1050"/>
      <c r="L26" s="1050"/>
      <c r="M26" s="1050"/>
      <c r="N26" s="1050"/>
      <c r="O26" s="1050"/>
      <c r="P26" s="1050"/>
      <c r="Q26" s="1050"/>
      <c r="R26" s="252"/>
      <c r="S26" s="252"/>
      <c r="T26" s="252"/>
      <c r="U26" s="252"/>
      <c r="V26" s="252"/>
      <c r="W26" s="252"/>
      <c r="X26" s="252"/>
      <c r="Y26" s="252"/>
      <c r="Z26" s="252"/>
    </row>
    <row r="27" spans="1:28" ht="11.25" customHeight="1" thickBot="1">
      <c r="A27" s="252"/>
      <c r="B27" s="252"/>
      <c r="C27" s="252"/>
      <c r="D27" s="252"/>
      <c r="E27" s="1163"/>
      <c r="F27" s="255"/>
      <c r="G27" s="255"/>
      <c r="H27" s="255"/>
      <c r="I27" s="255"/>
      <c r="J27" s="255"/>
      <c r="K27" s="255"/>
      <c r="L27" s="252"/>
      <c r="M27" s="252"/>
      <c r="N27" s="252"/>
      <c r="O27" s="252"/>
      <c r="P27" s="252"/>
      <c r="Q27" s="252"/>
      <c r="R27" s="252"/>
      <c r="S27" s="252"/>
      <c r="T27" s="252"/>
      <c r="U27" s="252"/>
      <c r="V27" s="252"/>
      <c r="W27" s="252"/>
      <c r="X27" s="252"/>
      <c r="Y27" s="252"/>
      <c r="Z27" s="252"/>
    </row>
    <row r="28" spans="1:28" ht="18.600000000000001" thickBot="1">
      <c r="A28" s="252"/>
      <c r="B28" s="252"/>
      <c r="C28" s="252"/>
      <c r="D28" s="252"/>
      <c r="E28" s="1132"/>
      <c r="F28" s="1163"/>
      <c r="G28" s="252"/>
      <c r="H28" s="252"/>
      <c r="I28" s="252"/>
      <c r="J28" s="252"/>
      <c r="K28" s="252"/>
      <c r="L28" s="252"/>
      <c r="M28" s="880" t="s">
        <v>328</v>
      </c>
      <c r="N28" s="881"/>
      <c r="O28" s="881"/>
      <c r="P28" s="881"/>
      <c r="Q28" s="882"/>
      <c r="R28" s="252"/>
      <c r="S28" s="252"/>
      <c r="T28" s="252"/>
      <c r="U28" s="252"/>
      <c r="V28" s="252"/>
      <c r="W28" s="252"/>
      <c r="X28" s="252"/>
      <c r="Y28" s="252"/>
      <c r="Z28" s="252"/>
    </row>
    <row r="29" spans="1:28" ht="16.149999999999999" thickBot="1">
      <c r="A29" s="262"/>
      <c r="B29" s="1174"/>
      <c r="C29" s="867"/>
      <c r="D29" s="867"/>
      <c r="E29" s="867"/>
      <c r="F29" s="867"/>
      <c r="G29" s="867"/>
      <c r="H29" s="867"/>
      <c r="I29" s="867"/>
      <c r="J29" s="867"/>
      <c r="K29" s="867"/>
      <c r="L29" s="252"/>
      <c r="M29" s="883" t="s">
        <v>329</v>
      </c>
      <c r="N29" s="638"/>
      <c r="O29" s="883" t="s">
        <v>330</v>
      </c>
      <c r="P29" s="639"/>
      <c r="Q29" s="842" t="s">
        <v>83</v>
      </c>
      <c r="R29" s="252"/>
      <c r="S29" s="252"/>
      <c r="T29" s="252"/>
      <c r="U29" s="252"/>
      <c r="V29" s="252"/>
      <c r="W29" s="252"/>
      <c r="X29" s="252"/>
      <c r="Y29" s="252"/>
      <c r="Z29" s="252"/>
    </row>
    <row r="30" spans="1:28" ht="17.25" customHeight="1" thickBot="1">
      <c r="A30" s="841" t="s">
        <v>307</v>
      </c>
      <c r="B30" s="265" t="s">
        <v>331</v>
      </c>
      <c r="C30" s="867"/>
      <c r="D30" s="867"/>
      <c r="E30" s="867"/>
      <c r="F30" s="867"/>
      <c r="G30" s="867"/>
      <c r="H30" s="867"/>
      <c r="I30" s="867"/>
      <c r="J30" s="867"/>
      <c r="K30" s="867"/>
      <c r="L30" s="252"/>
      <c r="M30" s="263">
        <v>0</v>
      </c>
      <c r="N30" s="1175"/>
      <c r="O30" s="264">
        <v>0</v>
      </c>
      <c r="P30" s="265"/>
      <c r="Q30" s="843">
        <f>M30+O30</f>
        <v>0</v>
      </c>
      <c r="R30" s="252"/>
      <c r="S30" s="1176"/>
      <c r="T30" s="1050"/>
      <c r="U30" s="1050"/>
      <c r="V30" s="1050"/>
      <c r="W30" s="1050"/>
      <c r="X30" s="1050"/>
      <c r="Y30" s="1050"/>
      <c r="Z30" s="1050"/>
      <c r="AA30" s="1050"/>
      <c r="AB30" s="1050"/>
    </row>
    <row r="31" spans="1:28" ht="9" customHeight="1">
      <c r="A31" s="266"/>
      <c r="B31" s="266"/>
      <c r="C31" s="266"/>
      <c r="D31" s="266"/>
      <c r="E31" s="1174"/>
      <c r="F31" s="1174"/>
      <c r="G31" s="252"/>
      <c r="H31" s="252"/>
      <c r="I31" s="252"/>
      <c r="J31" s="252"/>
      <c r="K31" s="252"/>
      <c r="L31" s="252"/>
      <c r="M31" s="265"/>
      <c r="N31" s="265"/>
      <c r="O31" s="265"/>
      <c r="P31" s="265"/>
      <c r="Q31" s="265"/>
      <c r="R31" s="252"/>
      <c r="S31" s="1050"/>
      <c r="T31" s="1050"/>
      <c r="U31" s="1050"/>
      <c r="V31" s="1050"/>
      <c r="W31" s="1050"/>
      <c r="X31" s="1050"/>
      <c r="Y31" s="1050"/>
      <c r="Z31" s="1050"/>
      <c r="AA31" s="1050"/>
      <c r="AB31" s="1050"/>
    </row>
    <row r="32" spans="1:28" ht="15" customHeight="1">
      <c r="A32" s="266" t="s">
        <v>332</v>
      </c>
      <c r="B32" s="267"/>
      <c r="C32" s="267"/>
      <c r="D32" s="267"/>
      <c r="E32" s="252"/>
      <c r="F32" s="1174"/>
      <c r="G32" s="252"/>
      <c r="H32" s="252"/>
      <c r="I32" s="252"/>
      <c r="J32" s="252"/>
      <c r="K32" s="252"/>
      <c r="L32" s="252"/>
      <c r="M32" s="265"/>
      <c r="N32" s="265"/>
      <c r="O32" s="265"/>
      <c r="P32" s="265"/>
      <c r="Q32" s="265"/>
      <c r="R32" s="252"/>
      <c r="S32" s="252"/>
      <c r="T32" s="252"/>
      <c r="U32" s="252"/>
      <c r="V32" s="252"/>
      <c r="W32" s="252"/>
      <c r="X32" s="252"/>
      <c r="Y32" s="252"/>
      <c r="Z32" s="252"/>
    </row>
    <row r="33" spans="1:26" ht="9" customHeight="1" thickBot="1">
      <c r="A33" s="266"/>
      <c r="B33" s="1174"/>
      <c r="C33" s="1175"/>
      <c r="D33" s="1175"/>
      <c r="E33" s="1175"/>
      <c r="F33" s="1174"/>
      <c r="G33" s="252"/>
      <c r="H33" s="252"/>
      <c r="I33" s="252"/>
      <c r="J33" s="252"/>
      <c r="K33" s="252"/>
      <c r="L33" s="252"/>
      <c r="M33" s="265"/>
      <c r="N33" s="265"/>
      <c r="O33" s="265"/>
      <c r="P33" s="265"/>
      <c r="Q33" s="265"/>
      <c r="R33" s="252"/>
      <c r="S33" s="252"/>
      <c r="T33" s="252"/>
      <c r="U33" s="252"/>
      <c r="V33" s="252"/>
      <c r="W33" s="252"/>
      <c r="X33" s="252"/>
      <c r="Y33" s="252"/>
      <c r="Z33" s="252"/>
    </row>
    <row r="34" spans="1:26" ht="16.149999999999999" thickBot="1">
      <c r="A34" s="266"/>
      <c r="B34" s="266" t="s">
        <v>333</v>
      </c>
      <c r="C34" s="1174" t="s">
        <v>334</v>
      </c>
      <c r="D34" s="266"/>
      <c r="E34" s="252"/>
      <c r="F34" s="1174"/>
      <c r="G34" s="252"/>
      <c r="H34" s="252"/>
      <c r="I34" s="252"/>
      <c r="J34" s="252"/>
      <c r="K34" s="252"/>
      <c r="L34" s="252"/>
      <c r="M34" s="263"/>
      <c r="N34" s="1175"/>
      <c r="O34" s="263"/>
      <c r="P34" s="265"/>
      <c r="Q34" s="843">
        <f>M34+O34</f>
        <v>0</v>
      </c>
      <c r="R34" s="252"/>
      <c r="S34" s="252"/>
      <c r="T34" s="252"/>
      <c r="U34" s="252"/>
      <c r="V34" s="252"/>
      <c r="W34" s="252"/>
      <c r="X34" s="252"/>
      <c r="Y34" s="252"/>
      <c r="Z34" s="252"/>
    </row>
    <row r="35" spans="1:26" ht="8.25" customHeight="1" thickBot="1">
      <c r="A35" s="266"/>
      <c r="B35" s="266"/>
      <c r="C35" s="1174"/>
      <c r="D35" s="266"/>
      <c r="E35" s="252"/>
      <c r="F35" s="1174"/>
      <c r="G35" s="252"/>
      <c r="H35" s="252"/>
      <c r="I35" s="252"/>
      <c r="J35" s="252"/>
      <c r="K35" s="252"/>
      <c r="L35" s="252"/>
      <c r="M35" s="265"/>
      <c r="N35" s="1175"/>
      <c r="O35" s="265"/>
      <c r="P35" s="265"/>
      <c r="Q35" s="265"/>
      <c r="R35" s="252"/>
      <c r="S35" s="252"/>
      <c r="T35" s="252"/>
      <c r="U35" s="252"/>
      <c r="V35" s="252"/>
      <c r="W35" s="252"/>
      <c r="X35" s="252"/>
      <c r="Y35" s="252"/>
      <c r="Z35" s="252"/>
    </row>
    <row r="36" spans="1:26" ht="16.149999999999999" thickBot="1">
      <c r="A36" s="266"/>
      <c r="B36" s="266" t="s">
        <v>335</v>
      </c>
      <c r="C36" s="1174" t="s">
        <v>336</v>
      </c>
      <c r="D36" s="266"/>
      <c r="E36" s="252"/>
      <c r="F36" s="1174"/>
      <c r="G36" s="252"/>
      <c r="H36" s="252"/>
      <c r="I36" s="252"/>
      <c r="J36" s="252"/>
      <c r="K36" s="252"/>
      <c r="L36" s="252"/>
      <c r="M36" s="263"/>
      <c r="N36" s="1175"/>
      <c r="O36" s="263"/>
      <c r="P36" s="265"/>
      <c r="Q36" s="843">
        <f>M36+O36</f>
        <v>0</v>
      </c>
      <c r="R36" s="252"/>
      <c r="S36" s="252"/>
      <c r="T36" s="252"/>
      <c r="U36" s="252"/>
      <c r="V36" s="252"/>
      <c r="W36" s="252"/>
      <c r="X36" s="252"/>
      <c r="Y36" s="252"/>
      <c r="Z36" s="252"/>
    </row>
    <row r="37" spans="1:26" ht="6.75" customHeight="1" thickBot="1">
      <c r="A37" s="265"/>
      <c r="B37" s="266"/>
      <c r="C37" s="1177"/>
      <c r="D37" s="266"/>
      <c r="E37" s="252"/>
      <c r="F37" s="1174"/>
      <c r="G37" s="252"/>
      <c r="H37" s="252"/>
      <c r="I37" s="252"/>
      <c r="J37" s="252"/>
      <c r="K37" s="252"/>
      <c r="L37" s="252"/>
      <c r="M37" s="265"/>
      <c r="N37" s="265"/>
      <c r="O37" s="265"/>
      <c r="P37" s="265"/>
      <c r="Q37" s="265"/>
      <c r="R37" s="252"/>
      <c r="S37" s="252"/>
      <c r="T37" s="252"/>
      <c r="U37" s="252"/>
      <c r="V37" s="252"/>
      <c r="W37" s="252"/>
      <c r="X37" s="252"/>
      <c r="Y37" s="252"/>
      <c r="Z37" s="252"/>
    </row>
    <row r="38" spans="1:26" ht="16.149999999999999" thickBot="1">
      <c r="A38" s="266"/>
      <c r="B38" s="266" t="s">
        <v>337</v>
      </c>
      <c r="C38" s="1174" t="s">
        <v>338</v>
      </c>
      <c r="D38" s="266"/>
      <c r="E38" s="252"/>
      <c r="F38" s="1174"/>
      <c r="G38" s="252"/>
      <c r="H38" s="252"/>
      <c r="I38" s="252"/>
      <c r="J38" s="252"/>
      <c r="K38" s="252"/>
      <c r="L38" s="252"/>
      <c r="M38" s="263"/>
      <c r="N38" s="1175"/>
      <c r="O38" s="263"/>
      <c r="P38" s="265"/>
      <c r="Q38" s="843">
        <f>M38+O38</f>
        <v>0</v>
      </c>
      <c r="R38" s="252"/>
      <c r="S38" s="252"/>
      <c r="T38" s="252"/>
      <c r="U38" s="252"/>
      <c r="V38" s="252"/>
      <c r="W38" s="252"/>
      <c r="X38" s="252"/>
      <c r="Y38" s="252"/>
      <c r="Z38" s="252"/>
    </row>
    <row r="39" spans="1:26" ht="12" customHeight="1">
      <c r="A39" s="266"/>
      <c r="B39" s="266"/>
      <c r="C39" s="266"/>
      <c r="D39" s="266"/>
      <c r="E39" s="1174"/>
      <c r="F39" s="1174"/>
      <c r="G39" s="265"/>
      <c r="H39" s="265"/>
      <c r="I39" s="265"/>
      <c r="J39" s="265"/>
      <c r="K39" s="265"/>
      <c r="L39" s="252"/>
      <c r="M39" s="252"/>
      <c r="N39" s="252"/>
      <c r="O39" s="252"/>
      <c r="P39" s="252"/>
      <c r="Q39" s="252"/>
      <c r="R39" s="252"/>
      <c r="S39" s="252"/>
      <c r="T39" s="252"/>
      <c r="U39" s="252"/>
      <c r="V39" s="252"/>
      <c r="W39" s="252"/>
      <c r="X39" s="252"/>
      <c r="Y39" s="252"/>
      <c r="Z39" s="252"/>
    </row>
    <row r="40" spans="1:26" ht="16.5" customHeight="1" thickBot="1">
      <c r="A40" s="1174" t="s">
        <v>339</v>
      </c>
      <c r="B40" s="252"/>
      <c r="C40" s="266"/>
      <c r="D40" s="266"/>
      <c r="E40" s="1174"/>
      <c r="F40" s="1174"/>
      <c r="G40" s="265"/>
      <c r="H40" s="265"/>
      <c r="I40" s="265"/>
      <c r="J40" s="265"/>
      <c r="K40" s="265"/>
      <c r="L40" s="252"/>
      <c r="M40" s="252"/>
      <c r="N40" s="252"/>
      <c r="O40" s="252"/>
      <c r="P40" s="252"/>
      <c r="Q40" s="252"/>
      <c r="R40" s="252"/>
      <c r="S40" s="252"/>
      <c r="T40" s="252"/>
      <c r="U40" s="252"/>
      <c r="V40" s="252"/>
      <c r="W40" s="252"/>
      <c r="X40" s="252"/>
      <c r="Y40" s="252"/>
      <c r="Z40" s="252"/>
    </row>
    <row r="41" spans="1:26" ht="41.25" customHeight="1" thickBot="1">
      <c r="A41" s="1178"/>
      <c r="B41" s="1047"/>
      <c r="C41" s="1047"/>
      <c r="D41" s="1047"/>
      <c r="E41" s="1047"/>
      <c r="F41" s="1047"/>
      <c r="G41" s="1047"/>
      <c r="H41" s="1047"/>
      <c r="I41" s="1047"/>
      <c r="J41" s="1047"/>
      <c r="K41" s="1047"/>
      <c r="L41" s="1047"/>
      <c r="M41" s="1047"/>
      <c r="N41" s="1047"/>
      <c r="O41" s="1047"/>
      <c r="P41" s="1047"/>
      <c r="Q41" s="1048"/>
      <c r="R41" s="252"/>
      <c r="S41" s="252"/>
      <c r="T41" s="252"/>
      <c r="U41" s="252"/>
      <c r="V41" s="252"/>
      <c r="W41" s="252"/>
      <c r="X41" s="252"/>
      <c r="Y41" s="252"/>
      <c r="Z41" s="252"/>
    </row>
    <row r="42" spans="1:26">
      <c r="A42" s="1175"/>
      <c r="B42" s="1175"/>
      <c r="C42" s="1175"/>
      <c r="D42" s="1175"/>
      <c r="E42" s="1175"/>
      <c r="F42" s="1175"/>
      <c r="G42" s="1175"/>
      <c r="H42" s="1175"/>
      <c r="I42" s="1175"/>
      <c r="J42" s="1175"/>
      <c r="K42" s="1175"/>
      <c r="L42" s="252"/>
      <c r="M42" s="252"/>
      <c r="N42" s="252"/>
      <c r="O42" s="252"/>
      <c r="P42" s="252"/>
      <c r="Q42" s="252"/>
      <c r="R42" s="252"/>
      <c r="S42" s="252"/>
      <c r="T42" s="252"/>
      <c r="U42" s="252"/>
      <c r="V42" s="252"/>
      <c r="W42" s="252"/>
      <c r="X42" s="252"/>
      <c r="Y42" s="252"/>
      <c r="Z42" s="252"/>
    </row>
    <row r="43" spans="1:26">
      <c r="A43" s="252"/>
      <c r="B43" s="252"/>
      <c r="C43" s="252"/>
      <c r="D43" s="252"/>
      <c r="E43" s="257"/>
      <c r="F43" s="257"/>
      <c r="G43" s="252"/>
      <c r="H43" s="252"/>
      <c r="I43" s="252"/>
      <c r="J43" s="252"/>
      <c r="K43" s="252"/>
      <c r="L43" s="252"/>
      <c r="M43" s="252"/>
      <c r="N43" s="252"/>
      <c r="O43" s="252"/>
      <c r="P43" s="252"/>
      <c r="Q43" s="252"/>
      <c r="R43" s="252"/>
      <c r="S43" s="252"/>
      <c r="T43" s="252"/>
      <c r="U43" s="252"/>
      <c r="V43" s="252"/>
      <c r="W43" s="252"/>
      <c r="X43" s="252"/>
      <c r="Y43" s="252"/>
      <c r="Z43" s="252"/>
    </row>
    <row r="44" spans="1:26">
      <c r="A44" s="252"/>
      <c r="B44" s="252"/>
      <c r="C44" s="252"/>
      <c r="D44" s="252"/>
      <c r="E44" s="257"/>
      <c r="F44" s="257"/>
      <c r="G44" s="252"/>
      <c r="H44" s="252"/>
      <c r="I44" s="252"/>
      <c r="J44" s="252"/>
      <c r="K44" s="252"/>
      <c r="L44" s="252"/>
      <c r="M44" s="252"/>
      <c r="N44" s="252"/>
      <c r="O44" s="252"/>
      <c r="P44" s="252"/>
      <c r="Q44" s="252"/>
      <c r="R44" s="252"/>
      <c r="S44" s="252"/>
      <c r="T44" s="252"/>
      <c r="U44" s="252"/>
      <c r="V44" s="252"/>
      <c r="W44" s="252"/>
      <c r="X44" s="252"/>
      <c r="Y44" s="252"/>
      <c r="Z44" s="252"/>
    </row>
    <row r="45" spans="1:26">
      <c r="A45" s="252"/>
      <c r="B45" s="252"/>
      <c r="C45" s="252"/>
      <c r="D45" s="252"/>
      <c r="E45" s="257"/>
      <c r="F45" s="257"/>
      <c r="G45" s="252"/>
      <c r="H45" s="252"/>
      <c r="I45" s="252"/>
      <c r="J45" s="252"/>
      <c r="K45" s="252"/>
      <c r="L45" s="252"/>
      <c r="M45" s="252"/>
      <c r="N45" s="252"/>
      <c r="O45" s="252"/>
      <c r="P45" s="252"/>
      <c r="Q45" s="252"/>
      <c r="R45" s="252"/>
      <c r="S45" s="252"/>
      <c r="T45" s="252"/>
      <c r="U45" s="252"/>
      <c r="V45" s="252"/>
      <c r="W45" s="252"/>
      <c r="X45" s="252"/>
      <c r="Y45" s="252"/>
      <c r="Z45" s="252"/>
    </row>
    <row r="46" spans="1:26">
      <c r="A46" s="252"/>
      <c r="B46" s="252"/>
      <c r="C46" s="252"/>
      <c r="D46" s="252"/>
      <c r="E46" s="257"/>
      <c r="F46" s="257"/>
      <c r="G46" s="252"/>
      <c r="H46" s="252"/>
      <c r="I46" s="252"/>
      <c r="J46" s="252"/>
      <c r="K46" s="252"/>
      <c r="L46" s="252"/>
      <c r="M46" s="252"/>
      <c r="N46" s="252"/>
      <c r="O46" s="252"/>
      <c r="P46" s="252"/>
      <c r="Q46" s="252"/>
      <c r="R46" s="252"/>
      <c r="S46" s="252"/>
      <c r="T46" s="252"/>
      <c r="U46" s="252"/>
      <c r="V46" s="252"/>
      <c r="W46" s="252"/>
      <c r="X46" s="252"/>
      <c r="Y46" s="252"/>
      <c r="Z46" s="252"/>
    </row>
    <row r="47" spans="1:26">
      <c r="A47" s="252"/>
      <c r="B47" s="252"/>
      <c r="C47" s="252"/>
      <c r="D47" s="252"/>
      <c r="E47" s="257"/>
      <c r="F47" s="257"/>
      <c r="G47" s="252"/>
      <c r="H47" s="252"/>
      <c r="I47" s="252"/>
      <c r="J47" s="252"/>
      <c r="K47" s="252"/>
      <c r="L47" s="252"/>
      <c r="M47" s="252"/>
      <c r="N47" s="252"/>
      <c r="O47" s="252"/>
      <c r="P47" s="252"/>
      <c r="Q47" s="252"/>
      <c r="R47" s="252"/>
      <c r="S47" s="252"/>
      <c r="T47" s="252"/>
      <c r="U47" s="252"/>
      <c r="V47" s="252"/>
      <c r="W47" s="252"/>
      <c r="X47" s="252"/>
      <c r="Y47" s="252"/>
      <c r="Z47" s="252"/>
    </row>
    <row r="48" spans="1:26">
      <c r="A48" s="252"/>
      <c r="B48" s="252"/>
      <c r="C48" s="252"/>
      <c r="D48" s="252"/>
      <c r="E48" s="257"/>
      <c r="F48" s="222"/>
      <c r="G48" s="222"/>
      <c r="H48" s="222"/>
      <c r="I48" s="222"/>
      <c r="J48" s="222"/>
      <c r="K48" s="252"/>
      <c r="L48" s="252"/>
      <c r="M48" s="252"/>
      <c r="N48" s="252"/>
      <c r="O48" s="252"/>
      <c r="P48" s="252"/>
      <c r="Q48" s="252"/>
      <c r="R48" s="252"/>
      <c r="S48" s="252"/>
      <c r="T48" s="252"/>
      <c r="U48" s="252"/>
      <c r="V48" s="252"/>
      <c r="W48" s="252"/>
      <c r="X48" s="252"/>
      <c r="Y48" s="252"/>
      <c r="Z48" s="252"/>
    </row>
    <row r="49" spans="1:26">
      <c r="A49" s="252"/>
      <c r="B49" s="252"/>
      <c r="C49" s="252"/>
      <c r="D49" s="252"/>
      <c r="E49" s="257"/>
      <c r="F49" s="222"/>
      <c r="G49" s="222"/>
      <c r="H49" s="222"/>
      <c r="I49" s="222"/>
      <c r="J49" s="222"/>
      <c r="K49" s="252"/>
      <c r="L49" s="252"/>
      <c r="M49" s="252"/>
      <c r="N49" s="252"/>
      <c r="O49" s="252"/>
      <c r="P49" s="252"/>
      <c r="Q49" s="252"/>
      <c r="R49" s="252"/>
      <c r="S49" s="252"/>
      <c r="T49" s="252"/>
      <c r="U49" s="252"/>
      <c r="V49" s="252"/>
      <c r="W49" s="252"/>
      <c r="X49" s="252"/>
      <c r="Y49" s="252"/>
      <c r="Z49" s="252"/>
    </row>
    <row r="50" spans="1:26">
      <c r="A50" s="252"/>
      <c r="B50" s="252"/>
      <c r="C50" s="252"/>
      <c r="D50" s="252"/>
      <c r="E50" s="257"/>
      <c r="F50" s="257"/>
      <c r="G50" s="252"/>
      <c r="H50" s="252"/>
      <c r="I50" s="252"/>
      <c r="J50" s="252"/>
      <c r="K50" s="252"/>
      <c r="L50" s="252"/>
      <c r="M50" s="252"/>
      <c r="N50" s="252"/>
      <c r="O50" s="252"/>
      <c r="P50" s="252"/>
      <c r="Q50" s="252"/>
      <c r="R50" s="252"/>
      <c r="S50" s="252"/>
      <c r="T50" s="252"/>
      <c r="U50" s="252"/>
      <c r="V50" s="252"/>
      <c r="W50" s="252"/>
      <c r="X50" s="252"/>
      <c r="Y50" s="252"/>
      <c r="Z50" s="252"/>
    </row>
    <row r="51" spans="1:26">
      <c r="A51" s="252"/>
      <c r="B51" s="252"/>
      <c r="C51" s="252"/>
      <c r="D51" s="252"/>
      <c r="E51" s="257"/>
      <c r="F51" s="257"/>
      <c r="G51" s="252"/>
      <c r="H51" s="252"/>
      <c r="I51" s="252"/>
      <c r="J51" s="252"/>
      <c r="K51" s="252"/>
      <c r="L51" s="252"/>
      <c r="M51" s="252"/>
      <c r="N51" s="252"/>
      <c r="O51" s="252"/>
      <c r="P51" s="252"/>
      <c r="Q51" s="252"/>
      <c r="R51" s="252"/>
      <c r="S51" s="252"/>
      <c r="T51" s="252"/>
      <c r="U51" s="252"/>
      <c r="V51" s="252"/>
      <c r="W51" s="252"/>
      <c r="X51" s="252"/>
      <c r="Y51" s="252"/>
      <c r="Z51" s="252"/>
    </row>
    <row r="52" spans="1:26">
      <c r="A52" s="252"/>
      <c r="B52" s="252"/>
      <c r="C52" s="252"/>
      <c r="D52" s="252"/>
      <c r="E52" s="257"/>
      <c r="F52" s="257"/>
      <c r="G52" s="252"/>
      <c r="H52" s="252"/>
      <c r="I52" s="252"/>
      <c r="J52" s="252"/>
      <c r="K52" s="252"/>
      <c r="L52" s="252"/>
      <c r="M52" s="252"/>
      <c r="N52" s="252"/>
      <c r="O52" s="252"/>
      <c r="P52" s="252"/>
      <c r="Q52" s="252"/>
      <c r="R52" s="252"/>
      <c r="S52" s="252"/>
      <c r="T52" s="252"/>
      <c r="U52" s="252"/>
      <c r="V52" s="252"/>
      <c r="W52" s="252"/>
      <c r="X52" s="252"/>
      <c r="Y52" s="252"/>
      <c r="Z52" s="252"/>
    </row>
    <row r="53" spans="1:26">
      <c r="A53" s="252"/>
      <c r="B53" s="252"/>
      <c r="C53" s="252"/>
      <c r="D53" s="252"/>
      <c r="E53" s="257"/>
      <c r="F53" s="257"/>
      <c r="G53" s="252"/>
      <c r="H53" s="252"/>
      <c r="I53" s="252"/>
      <c r="J53" s="252"/>
      <c r="K53" s="252"/>
      <c r="L53" s="252"/>
      <c r="M53" s="252"/>
      <c r="N53" s="252"/>
      <c r="O53" s="252"/>
      <c r="P53" s="252"/>
      <c r="Q53" s="252"/>
      <c r="R53" s="252"/>
      <c r="S53" s="252"/>
      <c r="T53" s="252"/>
      <c r="U53" s="252"/>
      <c r="V53" s="252"/>
      <c r="W53" s="252"/>
      <c r="X53" s="252"/>
      <c r="Y53" s="252"/>
      <c r="Z53" s="252"/>
    </row>
    <row r="54" spans="1:26">
      <c r="A54" s="252"/>
      <c r="B54" s="252"/>
      <c r="C54" s="252"/>
      <c r="D54" s="252"/>
      <c r="E54" s="257"/>
      <c r="F54" s="257"/>
      <c r="G54" s="252"/>
      <c r="H54" s="252"/>
      <c r="I54" s="252"/>
      <c r="J54" s="252"/>
      <c r="K54" s="252"/>
      <c r="L54" s="252"/>
      <c r="M54" s="252"/>
      <c r="N54" s="252"/>
      <c r="O54" s="252"/>
      <c r="P54" s="252"/>
      <c r="Q54" s="252"/>
      <c r="R54" s="252"/>
      <c r="S54" s="252"/>
      <c r="T54" s="252"/>
      <c r="U54" s="252"/>
      <c r="V54" s="252"/>
      <c r="W54" s="252"/>
      <c r="X54" s="252"/>
      <c r="Y54" s="252"/>
      <c r="Z54" s="252"/>
    </row>
    <row r="55" spans="1:26">
      <c r="A55" s="252"/>
      <c r="B55" s="252"/>
      <c r="C55" s="252"/>
      <c r="D55" s="252"/>
      <c r="E55" s="257"/>
      <c r="F55" s="257"/>
      <c r="G55" s="252"/>
      <c r="H55" s="252"/>
      <c r="I55" s="252"/>
      <c r="J55" s="252"/>
      <c r="K55" s="252"/>
      <c r="L55" s="252"/>
      <c r="M55" s="252"/>
      <c r="N55" s="252"/>
      <c r="O55" s="252"/>
      <c r="P55" s="252"/>
      <c r="Q55" s="252"/>
      <c r="R55" s="252"/>
      <c r="S55" s="252"/>
      <c r="T55" s="252"/>
      <c r="U55" s="252"/>
      <c r="V55" s="252"/>
      <c r="W55" s="252"/>
      <c r="X55" s="252"/>
      <c r="Y55" s="252"/>
      <c r="Z55" s="252"/>
    </row>
    <row r="56" spans="1:26">
      <c r="A56" s="252"/>
      <c r="B56" s="252"/>
      <c r="C56" s="252"/>
      <c r="D56" s="252"/>
      <c r="E56" s="257"/>
      <c r="F56" s="257"/>
      <c r="G56" s="252"/>
      <c r="H56" s="252"/>
      <c r="I56" s="252"/>
      <c r="J56" s="252"/>
      <c r="K56" s="252"/>
      <c r="L56" s="252"/>
      <c r="M56" s="252"/>
      <c r="N56" s="252"/>
      <c r="O56" s="252"/>
      <c r="P56" s="252"/>
      <c r="Q56" s="252"/>
      <c r="R56" s="252"/>
      <c r="S56" s="252"/>
      <c r="T56" s="252"/>
      <c r="U56" s="252"/>
      <c r="V56" s="252"/>
      <c r="W56" s="252"/>
      <c r="X56" s="252"/>
      <c r="Y56" s="252"/>
      <c r="Z56" s="252"/>
    </row>
    <row r="57" spans="1:26">
      <c r="A57" s="252"/>
      <c r="B57" s="252"/>
      <c r="C57" s="252"/>
      <c r="D57" s="252"/>
      <c r="E57" s="257"/>
      <c r="F57" s="257"/>
      <c r="G57" s="252"/>
      <c r="H57" s="252"/>
      <c r="I57" s="252"/>
      <c r="J57" s="252"/>
      <c r="K57" s="252"/>
      <c r="L57" s="252"/>
      <c r="M57" s="252"/>
      <c r="N57" s="252"/>
      <c r="O57" s="252"/>
      <c r="P57" s="252"/>
      <c r="Q57" s="252"/>
      <c r="R57" s="252"/>
      <c r="S57" s="252"/>
      <c r="T57" s="252"/>
      <c r="U57" s="252"/>
      <c r="V57" s="252"/>
      <c r="W57" s="252"/>
      <c r="X57" s="252"/>
      <c r="Y57" s="252"/>
      <c r="Z57" s="252"/>
    </row>
    <row r="58" spans="1:26">
      <c r="A58" s="252"/>
      <c r="B58" s="252"/>
      <c r="C58" s="252"/>
      <c r="D58" s="252"/>
      <c r="E58" s="257"/>
      <c r="F58" s="257"/>
      <c r="G58" s="252"/>
      <c r="H58" s="252"/>
      <c r="I58" s="252"/>
      <c r="J58" s="252"/>
      <c r="K58" s="252"/>
      <c r="L58" s="252"/>
      <c r="M58" s="252"/>
      <c r="N58" s="252"/>
      <c r="O58" s="252"/>
      <c r="P58" s="252"/>
      <c r="Q58" s="252"/>
      <c r="R58" s="252"/>
      <c r="S58" s="252"/>
      <c r="T58" s="252"/>
      <c r="U58" s="252"/>
      <c r="V58" s="252"/>
      <c r="W58" s="252"/>
      <c r="X58" s="252"/>
      <c r="Y58" s="252"/>
      <c r="Z58" s="252"/>
    </row>
    <row r="59" spans="1:26">
      <c r="A59" s="252"/>
      <c r="B59" s="252"/>
      <c r="C59" s="252"/>
      <c r="D59" s="252"/>
      <c r="E59" s="257"/>
      <c r="F59" s="257"/>
      <c r="G59" s="252"/>
      <c r="H59" s="252"/>
      <c r="I59" s="252"/>
      <c r="J59" s="252"/>
      <c r="K59" s="252"/>
      <c r="L59" s="252"/>
      <c r="M59" s="252"/>
      <c r="N59" s="252"/>
      <c r="O59" s="252"/>
      <c r="P59" s="252"/>
      <c r="Q59" s="252"/>
      <c r="R59" s="252"/>
      <c r="S59" s="252"/>
      <c r="T59" s="252"/>
      <c r="U59" s="252"/>
      <c r="V59" s="252"/>
      <c r="W59" s="252"/>
      <c r="X59" s="252"/>
      <c r="Y59" s="252"/>
      <c r="Z59" s="252"/>
    </row>
    <row r="60" spans="1:26">
      <c r="A60" s="252"/>
      <c r="B60" s="252"/>
      <c r="C60" s="252"/>
      <c r="D60" s="252"/>
      <c r="E60" s="257"/>
      <c r="F60" s="257"/>
      <c r="G60" s="252"/>
      <c r="H60" s="252"/>
      <c r="I60" s="252"/>
      <c r="J60" s="252"/>
      <c r="K60" s="252"/>
      <c r="L60" s="252"/>
      <c r="M60" s="252"/>
      <c r="N60" s="252"/>
      <c r="O60" s="252"/>
      <c r="P60" s="252"/>
      <c r="Q60" s="252"/>
      <c r="R60" s="252"/>
      <c r="S60" s="252"/>
      <c r="T60" s="252"/>
      <c r="U60" s="252"/>
      <c r="V60" s="252"/>
      <c r="W60" s="252"/>
      <c r="X60" s="252"/>
      <c r="Y60" s="252"/>
      <c r="Z60" s="252"/>
    </row>
    <row r="61" spans="1:26">
      <c r="A61" s="252"/>
      <c r="B61" s="252"/>
      <c r="C61" s="252"/>
      <c r="D61" s="252"/>
      <c r="E61" s="257"/>
      <c r="F61" s="257"/>
      <c r="G61" s="252"/>
      <c r="H61" s="252"/>
      <c r="I61" s="252"/>
      <c r="J61" s="252"/>
      <c r="K61" s="252"/>
      <c r="L61" s="252"/>
      <c r="M61" s="252"/>
      <c r="N61" s="252"/>
      <c r="O61" s="252"/>
      <c r="P61" s="252"/>
      <c r="Q61" s="252"/>
      <c r="R61" s="252"/>
      <c r="S61" s="252"/>
      <c r="T61" s="252"/>
      <c r="U61" s="252"/>
      <c r="V61" s="252"/>
      <c r="W61" s="252"/>
      <c r="X61" s="252"/>
      <c r="Y61" s="252"/>
      <c r="Z61" s="252"/>
    </row>
    <row r="62" spans="1:26">
      <c r="A62" s="252"/>
      <c r="B62" s="252"/>
      <c r="C62" s="252"/>
      <c r="D62" s="252"/>
      <c r="E62" s="257"/>
      <c r="F62" s="257"/>
      <c r="G62" s="252"/>
      <c r="H62" s="252"/>
      <c r="I62" s="252"/>
      <c r="J62" s="252"/>
      <c r="K62" s="252"/>
      <c r="L62" s="252"/>
      <c r="M62" s="252"/>
      <c r="N62" s="252"/>
      <c r="O62" s="252"/>
      <c r="P62" s="252"/>
      <c r="Q62" s="252"/>
      <c r="R62" s="252"/>
      <c r="S62" s="252"/>
      <c r="T62" s="252"/>
      <c r="U62" s="252"/>
      <c r="V62" s="252"/>
      <c r="W62" s="252"/>
      <c r="X62" s="252"/>
      <c r="Y62" s="252"/>
      <c r="Z62" s="252"/>
    </row>
    <row r="79" spans="1:1">
      <c r="A79" s="846">
        <f>SUM('99'!W19,'99'!W49)</f>
        <v>314</v>
      </c>
    </row>
    <row r="102" spans="1:1">
      <c r="A102" s="1179">
        <f>SUM('99'!W19,'99'!W49)</f>
        <v>314</v>
      </c>
    </row>
  </sheetData>
  <mergeCells count="18">
    <mergeCell ref="A10:Q10"/>
    <mergeCell ref="S30:AB31"/>
    <mergeCell ref="B21:G21"/>
    <mergeCell ref="A1:Q1"/>
    <mergeCell ref="A2:Q2"/>
    <mergeCell ref="B12:G12"/>
    <mergeCell ref="A7:C7"/>
    <mergeCell ref="A8:C8"/>
    <mergeCell ref="A3:R3"/>
    <mergeCell ref="A41:Q41"/>
    <mergeCell ref="B19:G19"/>
    <mergeCell ref="K18:Q21"/>
    <mergeCell ref="B13:H13"/>
    <mergeCell ref="B14:H14"/>
    <mergeCell ref="B15:H15"/>
    <mergeCell ref="B17:G17"/>
    <mergeCell ref="K17:Q17"/>
    <mergeCell ref="A26:Q26"/>
  </mergeCells>
  <phoneticPr fontId="54" type="noConversion"/>
  <pageMargins left="0.75" right="0.75" top="1" bottom="1" header="0.5" footer="0.5"/>
  <pageSetup scale="75" orientation="portrait" horizontalDpi="4294967292" r:id="rId1"/>
  <headerFooter alignWithMargins="0">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pageSetUpPr fitToPage="1"/>
  </sheetPr>
  <dimension ref="A1:AV107"/>
  <sheetViews>
    <sheetView showGridLines="0" showZeros="0" defaultGridColor="0" colorId="8" zoomScaleNormal="100" workbookViewId="0">
      <selection activeCell="I28" sqref="I28:J28"/>
    </sheetView>
  </sheetViews>
  <sheetFormatPr defaultColWidth="0" defaultRowHeight="0" customHeight="1" zeroHeight="1"/>
  <cols>
    <col min="1" max="1" width="36.125" style="85" customWidth="1"/>
    <col min="2" max="2" width="4.5" style="134" customWidth="1"/>
    <col min="3" max="4" width="5.625" style="274" customWidth="1"/>
    <col min="5" max="5" width="6.5" style="274" customWidth="1"/>
    <col min="6" max="6" width="7.875" style="274" customWidth="1"/>
    <col min="7" max="7" width="8" style="274" customWidth="1"/>
    <col min="8" max="8" width="6.5" style="274" customWidth="1"/>
    <col min="9" max="10" width="5.625" style="274" customWidth="1"/>
    <col min="11" max="11" width="6.5" style="274" customWidth="1"/>
    <col min="12" max="12" width="6.5" style="85" customWidth="1"/>
    <col min="13" max="13" width="5.625" style="134" hidden="1" customWidth="1"/>
    <col min="14" max="14" width="7.5" style="274" hidden="1" customWidth="1"/>
    <col min="15" max="15" width="1.875" style="319" customWidth="1"/>
    <col min="16" max="16" width="6.625" style="85" hidden="1" customWidth="1"/>
    <col min="17" max="17" width="6.875" style="114" hidden="1" customWidth="1"/>
    <col min="18" max="18" width="6.625" style="114" hidden="1" customWidth="1"/>
    <col min="19" max="48" width="6.625" style="85" hidden="1" customWidth="1"/>
    <col min="49" max="16384" width="0" style="85" hidden="1"/>
  </cols>
  <sheetData>
    <row r="1" spans="1:18" s="74" customFormat="1" ht="45.6">
      <c r="A1" s="1079" t="str">
        <f>'99'!A90&amp;" CREDIT HOURS"</f>
        <v>FALL 2021 CREDIT HOURS</v>
      </c>
      <c r="B1" s="1079"/>
      <c r="C1" s="1079"/>
      <c r="D1" s="1079"/>
      <c r="E1" s="1080" t="s">
        <v>340</v>
      </c>
      <c r="F1" s="1080"/>
      <c r="G1" s="1080"/>
      <c r="H1" s="1080"/>
      <c r="I1" s="1080"/>
      <c r="J1" s="1080"/>
      <c r="K1" s="546" t="str">
        <f>+'99'!A2</f>
        <v>2122</v>
      </c>
      <c r="L1" s="644" t="s">
        <v>61</v>
      </c>
      <c r="M1" s="1068" t="s">
        <v>341</v>
      </c>
      <c r="N1" s="1069"/>
      <c r="O1" s="322">
        <f>IF(COUNT(E13:E18,H22:H27)&gt;0,1,0)</f>
        <v>1</v>
      </c>
      <c r="P1" s="72"/>
      <c r="Q1" s="72"/>
      <c r="R1" s="72"/>
    </row>
    <row r="2" spans="1:18" s="74" customFormat="1" ht="13.5" customHeight="1">
      <c r="A2" s="646"/>
      <c r="B2" s="643"/>
      <c r="C2" s="644"/>
      <c r="D2" s="644"/>
      <c r="E2" s="644"/>
      <c r="F2" s="644"/>
      <c r="G2" s="644"/>
      <c r="H2" s="644"/>
      <c r="I2" s="644"/>
      <c r="J2" s="644"/>
      <c r="K2" s="546" t="s">
        <v>342</v>
      </c>
      <c r="L2" s="644" t="s">
        <v>61</v>
      </c>
      <c r="M2" s="1069"/>
      <c r="N2" s="1069"/>
      <c r="O2" s="322"/>
      <c r="P2" s="72"/>
      <c r="Q2" s="72"/>
      <c r="R2" s="72"/>
    </row>
    <row r="3" spans="1:18" ht="13.5" customHeight="1">
      <c r="A3" s="323" t="str">
        <f>'99'!A3</f>
        <v>Western Connecticut State University</v>
      </c>
      <c r="B3" s="238"/>
      <c r="C3" s="647"/>
      <c r="D3" s="644"/>
      <c r="E3" s="648"/>
      <c r="F3" s="647"/>
      <c r="G3" s="644"/>
      <c r="H3" s="648"/>
      <c r="I3" s="644"/>
      <c r="J3" s="644"/>
      <c r="K3" s="644"/>
      <c r="L3" s="644"/>
      <c r="M3" s="1069"/>
      <c r="N3" s="1069"/>
      <c r="O3" s="322"/>
      <c r="P3" s="72"/>
      <c r="Q3" s="72"/>
      <c r="R3" s="72"/>
    </row>
    <row r="4" spans="1:18" ht="12" customHeight="1" thickBot="1">
      <c r="A4" s="324">
        <f>'99'!A4</f>
        <v>130776</v>
      </c>
      <c r="B4" s="649"/>
      <c r="C4"/>
      <c r="D4"/>
      <c r="E4"/>
      <c r="F4" s="650"/>
      <c r="G4"/>
      <c r="H4" s="651"/>
      <c r="I4"/>
      <c r="J4"/>
      <c r="K4"/>
      <c r="L4" s="652">
        <v>0</v>
      </c>
      <c r="M4"/>
      <c r="N4"/>
      <c r="O4" s="653" t="s">
        <v>61</v>
      </c>
      <c r="P4" s="270"/>
      <c r="Q4" s="271"/>
      <c r="R4" s="271"/>
    </row>
    <row r="5" spans="1:18" ht="18.600000000000001" customHeight="1" thickTop="1">
      <c r="A5" s="654"/>
      <c r="B5" s="655"/>
      <c r="C5" s="1073" t="s">
        <v>343</v>
      </c>
      <c r="D5" s="1074"/>
      <c r="E5" s="1075"/>
      <c r="F5" s="1073" t="s">
        <v>344</v>
      </c>
      <c r="G5" s="1074"/>
      <c r="H5" s="1075"/>
      <c r="I5" s="325" t="s">
        <v>61</v>
      </c>
      <c r="J5" s="326"/>
      <c r="K5" s="327" t="s">
        <v>83</v>
      </c>
      <c r="L5" s="656">
        <v>0</v>
      </c>
      <c r="M5"/>
      <c r="N5"/>
      <c r="O5" s="653" t="s">
        <v>61</v>
      </c>
      <c r="P5" s="270"/>
      <c r="Q5" s="271"/>
      <c r="R5" s="271"/>
    </row>
    <row r="6" spans="1:18" ht="18.600000000000001" customHeight="1" thickBot="1">
      <c r="A6" s="315" t="str">
        <f>+'99'!N3</f>
        <v>Jerry Wilcox</v>
      </c>
      <c r="B6" s="655"/>
      <c r="C6" s="1076" t="s">
        <v>345</v>
      </c>
      <c r="D6" s="1077"/>
      <c r="E6" s="1078"/>
      <c r="F6" s="1070" t="s">
        <v>345</v>
      </c>
      <c r="G6" s="1071"/>
      <c r="H6" s="1072"/>
      <c r="I6" s="328" t="s">
        <v>346</v>
      </c>
      <c r="J6" s="329"/>
      <c r="K6" s="330" t="s">
        <v>347</v>
      </c>
      <c r="L6" s="652">
        <v>0</v>
      </c>
      <c r="M6"/>
      <c r="N6"/>
      <c r="O6" s="653" t="s">
        <v>61</v>
      </c>
      <c r="P6" s="270"/>
      <c r="Q6" s="271"/>
      <c r="R6" s="271"/>
    </row>
    <row r="7" spans="1:18" ht="12" customHeight="1" thickTop="1">
      <c r="A7" s="316" t="str">
        <f>+'99'!N4</f>
        <v>Director, Institutional Research and Assessment</v>
      </c>
      <c r="B7" s="655"/>
      <c r="C7" s="331"/>
      <c r="D7" s="329"/>
      <c r="E7" s="332" t="s">
        <v>347</v>
      </c>
      <c r="F7" s="331"/>
      <c r="G7" s="329"/>
      <c r="H7" s="333" t="s">
        <v>347</v>
      </c>
      <c r="I7" s="328" t="s">
        <v>83</v>
      </c>
      <c r="J7" s="329"/>
      <c r="K7" s="330" t="s">
        <v>348</v>
      </c>
      <c r="L7" s="652">
        <v>0</v>
      </c>
      <c r="M7"/>
      <c r="N7"/>
      <c r="O7" s="653" t="s">
        <v>61</v>
      </c>
      <c r="P7" s="270"/>
      <c r="Q7" s="271"/>
      <c r="R7" s="271"/>
    </row>
    <row r="8" spans="1:18" ht="12" customHeight="1">
      <c r="A8" s="317" t="str">
        <f>+'99'!N5</f>
        <v>203-837-8242</v>
      </c>
      <c r="B8" s="657"/>
      <c r="C8" s="1064" t="s">
        <v>349</v>
      </c>
      <c r="D8" s="1065"/>
      <c r="E8" s="335" t="s">
        <v>348</v>
      </c>
      <c r="F8" s="336" t="s">
        <v>349</v>
      </c>
      <c r="G8" s="337"/>
      <c r="H8" s="338" t="s">
        <v>348</v>
      </c>
      <c r="I8" s="339" t="s">
        <v>350</v>
      </c>
      <c r="J8" s="337"/>
      <c r="K8" s="340" t="s">
        <v>351</v>
      </c>
      <c r="L8" s="652">
        <v>0</v>
      </c>
      <c r="M8"/>
      <c r="N8"/>
      <c r="O8" s="653" t="s">
        <v>61</v>
      </c>
      <c r="P8" s="270"/>
      <c r="Q8" s="271"/>
      <c r="R8" s="271"/>
    </row>
    <row r="9" spans="1:18" s="84" customFormat="1" ht="12" customHeight="1">
      <c r="A9" s="348"/>
      <c r="B9" s="349" t="s">
        <v>80</v>
      </c>
      <c r="C9" s="341" t="s">
        <v>81</v>
      </c>
      <c r="D9" s="102" t="s">
        <v>82</v>
      </c>
      <c r="E9" s="332" t="s">
        <v>61</v>
      </c>
      <c r="F9" s="341" t="s">
        <v>81</v>
      </c>
      <c r="G9" s="102" t="s">
        <v>82</v>
      </c>
      <c r="H9" s="332">
        <v>0</v>
      </c>
      <c r="I9" s="103" t="s">
        <v>352</v>
      </c>
      <c r="J9" s="102" t="s">
        <v>353</v>
      </c>
      <c r="K9" s="102" t="s">
        <v>61</v>
      </c>
      <c r="L9" s="658">
        <v>0</v>
      </c>
      <c r="M9"/>
      <c r="N9"/>
      <c r="O9" s="653"/>
      <c r="Q9" s="272"/>
      <c r="R9" s="272"/>
    </row>
    <row r="10" spans="1:18" ht="12" customHeight="1">
      <c r="A10" s="350"/>
      <c r="B10" s="351" t="s">
        <v>354</v>
      </c>
      <c r="C10" s="342" t="s">
        <v>86</v>
      </c>
      <c r="D10" s="109" t="s">
        <v>87</v>
      </c>
      <c r="E10" s="343" t="s">
        <v>88</v>
      </c>
      <c r="F10" s="342" t="s">
        <v>89</v>
      </c>
      <c r="G10" s="109" t="s">
        <v>90</v>
      </c>
      <c r="H10" s="343" t="s">
        <v>91</v>
      </c>
      <c r="I10" s="106" t="s">
        <v>92</v>
      </c>
      <c r="J10" s="109" t="s">
        <v>93</v>
      </c>
      <c r="K10" s="109" t="s">
        <v>94</v>
      </c>
      <c r="L10" s="659"/>
      <c r="M10"/>
      <c r="N10"/>
      <c r="O10" s="660"/>
      <c r="P10" s="127"/>
      <c r="Q10" s="129"/>
      <c r="R10" s="129"/>
    </row>
    <row r="11" spans="1:18" ht="18" customHeight="1">
      <c r="A11" s="352" t="s">
        <v>355</v>
      </c>
      <c r="B11" s="348"/>
      <c r="C11" s="515"/>
      <c r="D11" s="53"/>
      <c r="E11" s="516"/>
      <c r="F11" s="304"/>
      <c r="G11" s="289"/>
      <c r="H11" s="367"/>
      <c r="I11" s="53"/>
      <c r="J11" s="53"/>
      <c r="K11" s="279">
        <f>E11+H11</f>
        <v>0</v>
      </c>
      <c r="L11" s="661"/>
      <c r="M11"/>
      <c r="N11"/>
      <c r="O11" s="653"/>
    </row>
    <row r="12" spans="1:18" s="275" customFormat="1" ht="15.95" customHeight="1">
      <c r="A12" s="353" t="s">
        <v>356</v>
      </c>
      <c r="B12" s="354"/>
      <c r="C12" s="517"/>
      <c r="D12" s="54"/>
      <c r="E12" s="518"/>
      <c r="F12" s="305"/>
      <c r="G12" s="288"/>
      <c r="H12" s="368"/>
      <c r="I12" s="54"/>
      <c r="J12" s="54"/>
      <c r="K12" s="280"/>
      <c r="L12" s="654"/>
      <c r="M12"/>
      <c r="N12"/>
      <c r="O12" s="662"/>
      <c r="Q12" s="276"/>
      <c r="R12" s="276"/>
    </row>
    <row r="13" spans="1:18" ht="15" customHeight="1">
      <c r="A13" s="355" t="s">
        <v>357</v>
      </c>
      <c r="B13" s="356" t="s">
        <v>358</v>
      </c>
      <c r="C13" s="285">
        <f>SUM('99'!U18:U24)</f>
        <v>1651</v>
      </c>
      <c r="D13" s="286">
        <f>SUM('99'!V18:V24)</f>
        <v>1789</v>
      </c>
      <c r="E13" s="282">
        <v>50323</v>
      </c>
      <c r="F13" s="306"/>
      <c r="G13" s="288"/>
      <c r="H13" s="369">
        <v>0</v>
      </c>
      <c r="I13" s="286">
        <f>C13+F13</f>
        <v>1651</v>
      </c>
      <c r="J13" s="296">
        <f t="shared" ref="J13:K15" si="0">D13+G13</f>
        <v>1789</v>
      </c>
      <c r="K13" s="280">
        <f t="shared" si="0"/>
        <v>50323</v>
      </c>
      <c r="L13" s="1066" t="s">
        <v>341</v>
      </c>
      <c r="M13"/>
      <c r="N13"/>
      <c r="O13" s="653"/>
    </row>
    <row r="14" spans="1:18" ht="15" hidden="1" customHeight="1">
      <c r="A14" s="355" t="s">
        <v>359</v>
      </c>
      <c r="B14" s="356" t="s">
        <v>360</v>
      </c>
      <c r="C14" s="287">
        <f>'99'!U28+'99'!U29</f>
        <v>0</v>
      </c>
      <c r="D14" s="54">
        <f>'99'!V28+'99'!V29</f>
        <v>0</v>
      </c>
      <c r="E14" s="283"/>
      <c r="F14" s="291"/>
      <c r="G14" s="288"/>
      <c r="H14" s="369">
        <v>0</v>
      </c>
      <c r="I14" s="280">
        <f>C14+F14</f>
        <v>0</v>
      </c>
      <c r="J14" s="277">
        <f t="shared" si="0"/>
        <v>0</v>
      </c>
      <c r="K14" s="280">
        <f t="shared" si="0"/>
        <v>0</v>
      </c>
      <c r="L14" s="1067"/>
      <c r="M14"/>
      <c r="N14"/>
      <c r="O14" s="653"/>
    </row>
    <row r="15" spans="1:18" ht="28.5" customHeight="1">
      <c r="A15" s="930" t="s">
        <v>361</v>
      </c>
      <c r="B15" s="356" t="s">
        <v>362</v>
      </c>
      <c r="C15" s="287">
        <f>'99'!U32+'99'!U33</f>
        <v>23</v>
      </c>
      <c r="D15" s="54">
        <f>'99'!V32+'99'!V33</f>
        <v>58</v>
      </c>
      <c r="E15" s="283">
        <v>960</v>
      </c>
      <c r="F15" s="291"/>
      <c r="G15" s="288"/>
      <c r="H15" s="369">
        <v>0</v>
      </c>
      <c r="I15" s="280">
        <f>C15+F15</f>
        <v>23</v>
      </c>
      <c r="J15" s="277">
        <f t="shared" si="0"/>
        <v>58</v>
      </c>
      <c r="K15" s="280">
        <f t="shared" si="0"/>
        <v>960</v>
      </c>
      <c r="L15" s="1067"/>
      <c r="M15"/>
      <c r="N15"/>
      <c r="O15" s="653"/>
    </row>
    <row r="16" spans="1:18" ht="17.100000000000001" customHeight="1">
      <c r="A16" s="929" t="s">
        <v>363</v>
      </c>
      <c r="B16" s="358"/>
      <c r="C16" s="519"/>
      <c r="D16" s="295"/>
      <c r="E16" s="663">
        <v>0</v>
      </c>
      <c r="F16" s="304"/>
      <c r="G16" s="289"/>
      <c r="H16" s="367"/>
      <c r="I16" s="53"/>
      <c r="J16" s="53"/>
      <c r="K16" s="279"/>
      <c r="L16" s="1067"/>
      <c r="M16"/>
      <c r="N16"/>
      <c r="O16" s="653"/>
    </row>
    <row r="17" spans="1:16" ht="15" customHeight="1">
      <c r="A17" s="360" t="s">
        <v>357</v>
      </c>
      <c r="B17" s="356" t="s">
        <v>124</v>
      </c>
      <c r="C17" s="287">
        <f>'99'!U25</f>
        <v>0</v>
      </c>
      <c r="D17" s="54">
        <f>'99'!V25</f>
        <v>0</v>
      </c>
      <c r="E17" s="283"/>
      <c r="F17" s="291"/>
      <c r="G17" s="288"/>
      <c r="H17" s="369">
        <v>0</v>
      </c>
      <c r="I17" s="286">
        <f>C17+F17</f>
        <v>0</v>
      </c>
      <c r="J17" s="296">
        <f>D17+G17</f>
        <v>0</v>
      </c>
      <c r="K17" s="286">
        <f>E17+H17</f>
        <v>0</v>
      </c>
      <c r="L17" s="1067"/>
      <c r="M17"/>
      <c r="N17"/>
      <c r="O17" s="653"/>
    </row>
    <row r="18" spans="1:16" ht="29.25" customHeight="1">
      <c r="A18" s="930" t="s">
        <v>364</v>
      </c>
      <c r="B18" s="356" t="s">
        <v>138</v>
      </c>
      <c r="C18" s="287">
        <f>'99'!U34</f>
        <v>0</v>
      </c>
      <c r="D18" s="54">
        <f>'99'!V34</f>
        <v>0</v>
      </c>
      <c r="E18" s="283">
        <v>0</v>
      </c>
      <c r="F18" s="291"/>
      <c r="G18" s="288"/>
      <c r="H18" s="369">
        <v>0</v>
      </c>
      <c r="I18" s="280">
        <f t="shared" ref="I18:K19" si="1">C18+F18</f>
        <v>0</v>
      </c>
      <c r="J18" s="277">
        <f t="shared" si="1"/>
        <v>0</v>
      </c>
      <c r="K18" s="280">
        <f t="shared" si="1"/>
        <v>0</v>
      </c>
      <c r="L18" s="1067"/>
      <c r="M18"/>
      <c r="N18"/>
      <c r="O18" s="653"/>
    </row>
    <row r="19" spans="1:16" ht="17.100000000000001" customHeight="1" thickBot="1">
      <c r="A19" s="361" t="s">
        <v>365</v>
      </c>
      <c r="B19" s="362"/>
      <c r="C19" s="300">
        <f>SUM(C13:C18)</f>
        <v>1674</v>
      </c>
      <c r="D19" s="299">
        <f>SUM(D13:D18)</f>
        <v>1847</v>
      </c>
      <c r="E19" s="301">
        <f>SUM(E13:E18)</f>
        <v>51283</v>
      </c>
      <c r="F19" s="307"/>
      <c r="G19" s="298"/>
      <c r="H19" s="308">
        <f>SUM(H13:H18)</f>
        <v>0</v>
      </c>
      <c r="I19" s="299">
        <f t="shared" si="1"/>
        <v>1674</v>
      </c>
      <c r="J19" s="297">
        <f t="shared" si="1"/>
        <v>1847</v>
      </c>
      <c r="K19" s="299">
        <f t="shared" si="1"/>
        <v>51283</v>
      </c>
      <c r="L19" s="1067"/>
      <c r="M19"/>
      <c r="N19"/>
      <c r="O19" s="322"/>
      <c r="P19" s="114"/>
    </row>
    <row r="20" spans="1:16" ht="18" customHeight="1">
      <c r="A20" s="352" t="s">
        <v>366</v>
      </c>
      <c r="B20" s="363"/>
      <c r="C20" s="291"/>
      <c r="D20" s="288"/>
      <c r="E20" s="369"/>
      <c r="F20" s="520"/>
      <c r="G20" s="52"/>
      <c r="H20" s="521"/>
      <c r="I20" s="52"/>
      <c r="J20" s="52"/>
      <c r="K20" s="512"/>
      <c r="L20" s="1067"/>
      <c r="M20"/>
      <c r="N20"/>
      <c r="O20" s="653"/>
    </row>
    <row r="21" spans="1:16" ht="17.100000000000001" customHeight="1">
      <c r="A21" s="353" t="s">
        <v>356</v>
      </c>
      <c r="B21" s="354"/>
      <c r="C21" s="292"/>
      <c r="D21" s="293"/>
      <c r="E21" s="522"/>
      <c r="F21" s="523"/>
      <c r="G21" s="55"/>
      <c r="H21" s="524"/>
      <c r="I21" s="55"/>
      <c r="J21" s="55"/>
      <c r="K21" s="47"/>
      <c r="L21" s="1067"/>
      <c r="M21"/>
      <c r="N21"/>
      <c r="O21" s="322"/>
      <c r="P21" s="114"/>
    </row>
    <row r="22" spans="1:16" ht="15" customHeight="1">
      <c r="A22" s="355" t="s">
        <v>357</v>
      </c>
      <c r="B22" s="356" t="s">
        <v>367</v>
      </c>
      <c r="C22" s="291">
        <v>0</v>
      </c>
      <c r="D22" s="288">
        <v>0</v>
      </c>
      <c r="E22" s="369">
        <v>0</v>
      </c>
      <c r="F22" s="287">
        <f>SUM('99'!U48:U54)</f>
        <v>267</v>
      </c>
      <c r="G22" s="54">
        <f>SUM('99'!V48:V54)</f>
        <v>321</v>
      </c>
      <c r="H22" s="283">
        <v>4160</v>
      </c>
      <c r="I22" s="280">
        <f>C22+F22</f>
        <v>267</v>
      </c>
      <c r="J22" s="277">
        <f t="shared" ref="J22:K24" si="2">D22+G22</f>
        <v>321</v>
      </c>
      <c r="K22" s="280">
        <f t="shared" si="2"/>
        <v>4160</v>
      </c>
      <c r="L22" s="1067"/>
      <c r="M22"/>
      <c r="N22"/>
      <c r="O22" s="653"/>
    </row>
    <row r="23" spans="1:16" ht="15" hidden="1" customHeight="1">
      <c r="A23" s="355" t="s">
        <v>359</v>
      </c>
      <c r="B23" s="356" t="s">
        <v>368</v>
      </c>
      <c r="C23" s="291"/>
      <c r="D23" s="288"/>
      <c r="E23" s="369">
        <v>0</v>
      </c>
      <c r="F23" s="287">
        <f>'99'!U58+'99'!U59</f>
        <v>0</v>
      </c>
      <c r="G23" s="54">
        <f>'99'!V58+'99'!V59</f>
        <v>0</v>
      </c>
      <c r="H23" s="283"/>
      <c r="I23" s="280">
        <f>C23+F23</f>
        <v>0</v>
      </c>
      <c r="J23" s="277">
        <f t="shared" si="2"/>
        <v>0</v>
      </c>
      <c r="K23" s="280">
        <f t="shared" si="2"/>
        <v>0</v>
      </c>
      <c r="L23" s="1067"/>
      <c r="M23"/>
      <c r="N23"/>
      <c r="O23" s="653"/>
    </row>
    <row r="24" spans="1:16" ht="25.5" customHeight="1">
      <c r="A24" s="930" t="s">
        <v>361</v>
      </c>
      <c r="B24" s="356" t="s">
        <v>369</v>
      </c>
      <c r="C24" s="291"/>
      <c r="D24" s="288"/>
      <c r="E24" s="369">
        <v>0</v>
      </c>
      <c r="F24" s="287">
        <f>'99'!U62+'99'!U63</f>
        <v>113</v>
      </c>
      <c r="G24" s="54">
        <f>'99'!V62+'99'!V63</f>
        <v>389</v>
      </c>
      <c r="H24" s="283">
        <v>2912</v>
      </c>
      <c r="I24" s="280">
        <f>C24+F24</f>
        <v>113</v>
      </c>
      <c r="J24" s="277">
        <f t="shared" si="2"/>
        <v>389</v>
      </c>
      <c r="K24" s="280">
        <f t="shared" si="2"/>
        <v>2912</v>
      </c>
      <c r="L24" s="1067"/>
      <c r="M24"/>
      <c r="N24"/>
      <c r="O24" s="653"/>
    </row>
    <row r="25" spans="1:16" ht="17.100000000000001" customHeight="1">
      <c r="A25" s="357" t="s">
        <v>363</v>
      </c>
      <c r="B25" s="135"/>
      <c r="C25" s="294"/>
      <c r="D25" s="290"/>
      <c r="E25" s="370"/>
      <c r="F25" s="519"/>
      <c r="G25" s="295"/>
      <c r="H25" s="663"/>
      <c r="I25" s="295"/>
      <c r="J25" s="295"/>
      <c r="K25" s="286"/>
      <c r="L25" s="661"/>
      <c r="M25"/>
      <c r="N25"/>
      <c r="O25" s="653"/>
    </row>
    <row r="26" spans="1:16" ht="15" customHeight="1">
      <c r="A26" s="360" t="s">
        <v>357</v>
      </c>
      <c r="B26" s="356" t="s">
        <v>148</v>
      </c>
      <c r="C26" s="291"/>
      <c r="D26" s="288"/>
      <c r="E26" s="369">
        <v>0</v>
      </c>
      <c r="F26" s="287">
        <f>'99'!U55</f>
        <v>69</v>
      </c>
      <c r="G26" s="54">
        <f>'99'!V55</f>
        <v>75</v>
      </c>
      <c r="H26" s="283">
        <v>694</v>
      </c>
      <c r="I26" s="280">
        <f>C26+F26</f>
        <v>69</v>
      </c>
      <c r="J26" s="280">
        <f>D26+G26</f>
        <v>75</v>
      </c>
      <c r="K26" s="280">
        <f t="shared" ref="I26:K28" si="3">E26+H26</f>
        <v>694</v>
      </c>
      <c r="L26" s="661"/>
      <c r="M26"/>
      <c r="N26"/>
      <c r="O26" s="653"/>
    </row>
    <row r="27" spans="1:16" ht="24.75" customHeight="1">
      <c r="A27" s="930" t="s">
        <v>364</v>
      </c>
      <c r="B27" s="356" t="s">
        <v>153</v>
      </c>
      <c r="C27" s="291"/>
      <c r="D27" s="288"/>
      <c r="E27" s="369">
        <v>0</v>
      </c>
      <c r="F27" s="287">
        <f>'99'!U64</f>
        <v>24</v>
      </c>
      <c r="G27" s="54">
        <f>'99'!V64</f>
        <v>23</v>
      </c>
      <c r="H27" s="283">
        <v>165</v>
      </c>
      <c r="I27" s="280">
        <f t="shared" si="3"/>
        <v>24</v>
      </c>
      <c r="J27" s="277">
        <f t="shared" si="3"/>
        <v>23</v>
      </c>
      <c r="K27" s="280">
        <f t="shared" si="3"/>
        <v>165</v>
      </c>
      <c r="L27" s="661"/>
      <c r="M27"/>
      <c r="N27"/>
      <c r="O27" s="653"/>
    </row>
    <row r="28" spans="1:16" ht="16.149999999999999" thickBot="1">
      <c r="A28" s="361" t="s">
        <v>370</v>
      </c>
      <c r="B28" s="362"/>
      <c r="C28" s="307"/>
      <c r="D28" s="298"/>
      <c r="E28" s="308">
        <f>SUM(E22:E27)</f>
        <v>0</v>
      </c>
      <c r="F28" s="321">
        <f>SUM(F22:F27)</f>
        <v>473</v>
      </c>
      <c r="G28" s="297">
        <f>SUM(G22:G27)</f>
        <v>808</v>
      </c>
      <c r="H28" s="320">
        <f>SUM(H22:H27)</f>
        <v>7931</v>
      </c>
      <c r="I28" s="299">
        <f t="shared" si="3"/>
        <v>473</v>
      </c>
      <c r="J28" s="297">
        <f t="shared" si="3"/>
        <v>808</v>
      </c>
      <c r="K28" s="299">
        <f t="shared" si="3"/>
        <v>7931</v>
      </c>
      <c r="L28" s="661"/>
      <c r="M28"/>
      <c r="N28"/>
      <c r="O28" s="653"/>
    </row>
    <row r="29" spans="1:16" ht="20.45">
      <c r="A29" s="365" t="s">
        <v>371</v>
      </c>
      <c r="B29" s="366"/>
      <c r="C29" s="302">
        <f>C19+C28</f>
        <v>1674</v>
      </c>
      <c r="D29" s="55">
        <f>D19+D28</f>
        <v>1847</v>
      </c>
      <c r="E29" s="303">
        <f>E19+E28</f>
        <v>51283</v>
      </c>
      <c r="F29" s="302">
        <f>'99'!U56+'99'!U65</f>
        <v>473</v>
      </c>
      <c r="G29" s="55">
        <f>'99'!V56+'99'!V65</f>
        <v>808</v>
      </c>
      <c r="H29" s="303">
        <f>H28+H19</f>
        <v>7931</v>
      </c>
      <c r="I29" s="47">
        <f>C29+F29</f>
        <v>2147</v>
      </c>
      <c r="J29" s="49">
        <f>D29+G29</f>
        <v>2655</v>
      </c>
      <c r="K29" s="47">
        <f>E29+H29</f>
        <v>59214</v>
      </c>
      <c r="L29" s="664"/>
      <c r="M29"/>
      <c r="N29"/>
      <c r="O29" s="322"/>
      <c r="P29" s="114"/>
    </row>
    <row r="30" spans="1:16" ht="12" customHeight="1">
      <c r="A30" s="665"/>
      <c r="B30" s="659"/>
      <c r="C30" s="666"/>
      <c r="D30" s="664"/>
      <c r="E30" s="667"/>
      <c r="F30" s="666"/>
      <c r="G30" s="664"/>
      <c r="H30" s="667"/>
      <c r="I30" s="664"/>
      <c r="J30" s="664"/>
      <c r="K30" s="661"/>
      <c r="L30" s="664"/>
      <c r="M30"/>
      <c r="N30"/>
      <c r="O30" s="322"/>
      <c r="P30" s="114"/>
    </row>
    <row r="31" spans="1:16" ht="12" customHeight="1">
      <c r="A31" s="668" t="s">
        <v>372</v>
      </c>
      <c r="B31" s="658"/>
      <c r="C31" s="661"/>
      <c r="D31" s="661"/>
      <c r="E31" s="661"/>
      <c r="F31" s="661"/>
      <c r="G31" s="661"/>
      <c r="H31" s="661"/>
      <c r="I31" s="661"/>
      <c r="J31" s="661"/>
      <c r="K31" s="661"/>
      <c r="L31" s="661"/>
      <c r="M31"/>
      <c r="N31"/>
      <c r="O31" s="653"/>
    </row>
    <row r="32" spans="1:16" ht="15" customHeight="1">
      <c r="A32" s="82"/>
      <c r="B32" s="273"/>
      <c r="C32" s="270"/>
      <c r="D32" s="270"/>
      <c r="E32" s="270"/>
      <c r="F32" s="270"/>
      <c r="G32" s="270"/>
      <c r="H32" s="270"/>
      <c r="I32" s="270"/>
      <c r="J32" s="270"/>
      <c r="K32" s="270"/>
      <c r="L32" s="270"/>
      <c r="M32"/>
      <c r="N32"/>
      <c r="P32" s="270"/>
    </row>
    <row r="33" spans="2:14" ht="12" customHeight="1">
      <c r="B33" s="84"/>
      <c r="C33" s="85"/>
      <c r="D33" s="85"/>
      <c r="E33" s="85"/>
      <c r="F33" s="85"/>
      <c r="G33" s="85"/>
      <c r="H33" s="85"/>
      <c r="I33" s="85"/>
      <c r="J33" s="85"/>
      <c r="K33" s="85"/>
      <c r="M33" s="84"/>
      <c r="N33" s="85"/>
    </row>
    <row r="34" spans="2:14" ht="12" customHeight="1">
      <c r="B34" s="84"/>
      <c r="C34" s="85"/>
      <c r="D34" s="85"/>
      <c r="E34" s="85"/>
      <c r="F34" s="85"/>
      <c r="G34" s="85"/>
      <c r="H34" s="85"/>
      <c r="I34" s="85"/>
      <c r="J34" s="85"/>
      <c r="K34" s="85"/>
      <c r="M34" s="84"/>
      <c r="N34" s="85"/>
    </row>
    <row r="35" spans="2:14" ht="12" customHeight="1">
      <c r="B35" s="84"/>
      <c r="C35" s="85"/>
      <c r="D35" s="85"/>
      <c r="E35" s="85"/>
      <c r="F35" s="85"/>
      <c r="G35" s="85"/>
      <c r="H35" s="85"/>
      <c r="I35" s="85"/>
      <c r="J35" s="85"/>
      <c r="K35" s="85"/>
      <c r="M35" s="84"/>
      <c r="N35" s="85"/>
    </row>
    <row r="36" spans="2:14" ht="12" customHeight="1">
      <c r="B36" s="84"/>
      <c r="C36" s="85"/>
      <c r="D36" s="85"/>
      <c r="E36" s="85"/>
      <c r="F36" s="85"/>
      <c r="G36" s="85"/>
      <c r="H36" s="85"/>
      <c r="I36" s="85"/>
      <c r="J36" s="85"/>
      <c r="K36" s="85"/>
      <c r="M36" s="84"/>
      <c r="N36" s="85"/>
    </row>
    <row r="37" spans="2:14" ht="12" customHeight="1">
      <c r="B37" s="84"/>
      <c r="C37" s="85"/>
      <c r="D37" s="85"/>
      <c r="E37" s="85"/>
      <c r="F37" s="85"/>
      <c r="G37" s="85"/>
      <c r="H37" s="85"/>
      <c r="I37" s="85"/>
      <c r="J37" s="85"/>
      <c r="K37" s="85"/>
      <c r="M37" s="84"/>
      <c r="N37" s="85"/>
    </row>
    <row r="38" spans="2:14" ht="12" customHeight="1">
      <c r="B38" s="84"/>
      <c r="C38" s="85"/>
      <c r="D38" s="85"/>
      <c r="E38" s="85"/>
      <c r="F38" s="85"/>
      <c r="G38" s="85"/>
      <c r="H38" s="85"/>
      <c r="I38" s="85"/>
      <c r="J38" s="85"/>
      <c r="K38" s="85"/>
      <c r="M38" s="84"/>
      <c r="N38" s="85"/>
    </row>
    <row r="39" spans="2:14" ht="12" customHeight="1">
      <c r="B39" s="84"/>
      <c r="C39" s="85"/>
      <c r="D39" s="85"/>
      <c r="E39" s="85"/>
      <c r="F39" s="85"/>
      <c r="G39" s="85"/>
      <c r="H39" s="85"/>
      <c r="I39" s="85"/>
      <c r="J39" s="85"/>
      <c r="K39" s="85"/>
      <c r="M39" s="84"/>
      <c r="N39" s="85"/>
    </row>
    <row r="40" spans="2:14" ht="12" customHeight="1">
      <c r="B40" s="84"/>
      <c r="C40" s="85"/>
      <c r="D40" s="85"/>
      <c r="E40" s="85"/>
      <c r="F40" s="85"/>
      <c r="G40" s="85"/>
      <c r="H40" s="85"/>
      <c r="I40" s="85"/>
      <c r="J40" s="85"/>
      <c r="K40" s="85"/>
      <c r="M40" s="84"/>
      <c r="N40" s="85"/>
    </row>
    <row r="41" spans="2:14" ht="12" customHeight="1">
      <c r="B41" s="84"/>
      <c r="C41" s="85"/>
      <c r="D41" s="85"/>
      <c r="E41" s="85"/>
      <c r="F41" s="85"/>
      <c r="G41" s="85"/>
      <c r="H41" s="85"/>
      <c r="I41" s="85"/>
      <c r="J41" s="85"/>
      <c r="K41" s="85"/>
      <c r="M41" s="84"/>
      <c r="N41" s="85"/>
    </row>
    <row r="42" spans="2:14" ht="12" customHeight="1">
      <c r="B42" s="84"/>
      <c r="C42" s="85"/>
      <c r="D42" s="85"/>
      <c r="E42" s="85"/>
      <c r="F42" s="85"/>
      <c r="G42" s="85"/>
      <c r="H42" s="85"/>
      <c r="I42" s="85"/>
      <c r="J42" s="85"/>
      <c r="K42" s="85"/>
      <c r="M42" s="84"/>
      <c r="N42" s="85"/>
    </row>
    <row r="43" spans="2:14" ht="12" customHeight="1">
      <c r="B43" s="84"/>
      <c r="C43" s="85"/>
      <c r="D43" s="85"/>
      <c r="E43" s="85"/>
      <c r="F43" s="85"/>
      <c r="G43" s="85"/>
      <c r="H43" s="85"/>
      <c r="I43" s="85"/>
      <c r="J43" s="85"/>
      <c r="K43" s="85"/>
      <c r="M43" s="84"/>
      <c r="N43" s="85"/>
    </row>
    <row r="44" spans="2:14" ht="12" customHeight="1">
      <c r="B44" s="84"/>
      <c r="C44" s="85"/>
      <c r="D44" s="85"/>
      <c r="E44" s="85"/>
      <c r="F44" s="85"/>
      <c r="G44" s="85"/>
      <c r="H44" s="85"/>
      <c r="I44" s="85"/>
      <c r="J44" s="85"/>
      <c r="K44" s="85"/>
      <c r="M44" s="84"/>
      <c r="N44" s="85"/>
    </row>
    <row r="45" spans="2:14" ht="12" customHeight="1">
      <c r="B45" s="84"/>
      <c r="C45" s="85"/>
      <c r="D45" s="85"/>
      <c r="E45" s="85"/>
      <c r="F45" s="85"/>
      <c r="G45" s="85"/>
      <c r="H45" s="85"/>
      <c r="I45" s="85"/>
      <c r="J45" s="85"/>
      <c r="K45" s="85"/>
      <c r="M45" s="84"/>
      <c r="N45" s="85"/>
    </row>
    <row r="46" spans="2:14" ht="12" customHeight="1">
      <c r="B46" s="84"/>
      <c r="C46" s="85"/>
      <c r="D46" s="85"/>
      <c r="E46" s="85"/>
      <c r="F46" s="85"/>
      <c r="G46" s="85"/>
      <c r="H46" s="85"/>
      <c r="I46" s="85"/>
      <c r="J46" s="85"/>
      <c r="K46" s="85"/>
      <c r="M46" s="84"/>
      <c r="N46" s="85"/>
    </row>
    <row r="47" spans="2:14" ht="12" customHeight="1">
      <c r="B47" s="84"/>
      <c r="C47" s="85"/>
      <c r="D47" s="85"/>
      <c r="E47" s="85"/>
      <c r="F47" s="85"/>
      <c r="G47" s="85"/>
      <c r="H47" s="85"/>
      <c r="I47" s="85"/>
      <c r="J47" s="85"/>
      <c r="K47" s="85"/>
      <c r="M47" s="84"/>
      <c r="N47" s="85"/>
    </row>
    <row r="48" spans="2:14" ht="12" customHeight="1">
      <c r="B48" s="84"/>
      <c r="C48" s="85"/>
      <c r="D48" s="85"/>
      <c r="E48" s="85"/>
      <c r="F48" s="85"/>
      <c r="G48" s="85"/>
      <c r="H48" s="85"/>
      <c r="I48" s="85"/>
      <c r="J48" s="85"/>
      <c r="K48" s="85"/>
      <c r="M48" s="84"/>
      <c r="N48" s="85"/>
    </row>
    <row r="49" spans="2:14" ht="12" customHeight="1">
      <c r="B49" s="84"/>
      <c r="C49" s="85"/>
      <c r="D49" s="85"/>
      <c r="E49" s="85"/>
      <c r="F49" s="85"/>
      <c r="G49" s="85"/>
      <c r="H49" s="85"/>
      <c r="I49" s="85"/>
      <c r="J49" s="85"/>
      <c r="K49" s="85"/>
      <c r="M49" s="84"/>
      <c r="N49" s="85"/>
    </row>
    <row r="50" spans="2:14" ht="12" customHeight="1">
      <c r="B50" s="84"/>
      <c r="C50" s="85"/>
      <c r="D50" s="85"/>
      <c r="E50" s="85"/>
      <c r="F50" s="85"/>
      <c r="G50" s="85"/>
      <c r="H50" s="85"/>
      <c r="I50" s="85"/>
      <c r="J50" s="85"/>
      <c r="K50" s="85"/>
      <c r="M50" s="84"/>
      <c r="N50" s="85"/>
    </row>
    <row r="51" spans="2:14" ht="12" customHeight="1">
      <c r="B51" s="84"/>
      <c r="C51" s="85"/>
      <c r="D51" s="85"/>
      <c r="E51" s="85"/>
      <c r="F51" s="85"/>
      <c r="G51" s="85"/>
      <c r="H51" s="85"/>
      <c r="I51" s="85"/>
      <c r="J51" s="85"/>
      <c r="K51" s="85"/>
      <c r="M51" s="84"/>
      <c r="N51" s="85"/>
    </row>
    <row r="52" spans="2:14" ht="12" customHeight="1">
      <c r="B52" s="84"/>
      <c r="C52" s="85"/>
      <c r="D52" s="85"/>
      <c r="E52" s="85"/>
      <c r="F52" s="85"/>
      <c r="G52" s="85"/>
      <c r="H52" s="85"/>
      <c r="I52" s="85"/>
      <c r="J52" s="85"/>
      <c r="K52" s="85"/>
      <c r="M52" s="84"/>
      <c r="N52" s="85"/>
    </row>
    <row r="53" spans="2:14" ht="12" customHeight="1">
      <c r="B53" s="84"/>
      <c r="C53" s="85"/>
      <c r="D53" s="85"/>
      <c r="E53" s="85"/>
      <c r="F53" s="85"/>
      <c r="G53" s="85"/>
      <c r="H53" s="85"/>
      <c r="I53" s="85"/>
      <c r="J53" s="85"/>
      <c r="K53" s="85"/>
      <c r="M53" s="84"/>
      <c r="N53" s="85"/>
    </row>
    <row r="54" spans="2:14" ht="12" customHeight="1">
      <c r="B54" s="84"/>
      <c r="C54" s="85"/>
      <c r="D54" s="85"/>
      <c r="E54" s="85"/>
      <c r="F54" s="85"/>
      <c r="G54" s="85"/>
      <c r="H54" s="85"/>
      <c r="I54" s="85"/>
      <c r="J54" s="85"/>
      <c r="K54" s="85"/>
      <c r="M54" s="84"/>
      <c r="N54" s="85"/>
    </row>
    <row r="55" spans="2:14" ht="12" customHeight="1">
      <c r="B55" s="84"/>
      <c r="C55" s="85"/>
      <c r="D55" s="85"/>
      <c r="E55" s="85"/>
      <c r="F55" s="85"/>
      <c r="G55" s="85"/>
      <c r="H55" s="85"/>
      <c r="I55" s="85"/>
      <c r="J55" s="85"/>
      <c r="K55" s="85"/>
      <c r="M55" s="84"/>
      <c r="N55" s="85"/>
    </row>
    <row r="56" spans="2:14" ht="12" customHeight="1">
      <c r="B56" s="84"/>
      <c r="C56" s="85"/>
      <c r="D56" s="85"/>
      <c r="E56" s="85"/>
      <c r="F56" s="85"/>
      <c r="G56" s="85"/>
      <c r="H56" s="85"/>
      <c r="I56" s="85"/>
      <c r="J56" s="85"/>
      <c r="K56" s="85"/>
      <c r="M56" s="84"/>
      <c r="N56" s="85"/>
    </row>
    <row r="57" spans="2:14" ht="12" customHeight="1">
      <c r="B57" s="84"/>
      <c r="C57" s="85"/>
      <c r="D57" s="85"/>
      <c r="E57" s="85"/>
      <c r="F57" s="85"/>
      <c r="G57" s="85"/>
      <c r="H57" s="85"/>
      <c r="I57" s="85"/>
      <c r="J57" s="85"/>
      <c r="K57" s="85"/>
      <c r="M57" s="84"/>
      <c r="N57" s="85"/>
    </row>
    <row r="58" spans="2:14" ht="12" customHeight="1">
      <c r="B58" s="84"/>
      <c r="C58" s="85"/>
      <c r="D58" s="85"/>
      <c r="E58" s="85"/>
      <c r="F58" s="85"/>
      <c r="G58" s="85"/>
      <c r="H58" s="85"/>
      <c r="I58" s="85"/>
      <c r="J58" s="85"/>
      <c r="K58" s="85"/>
      <c r="M58" s="84"/>
      <c r="N58" s="85"/>
    </row>
    <row r="59" spans="2:14" ht="12" customHeight="1">
      <c r="B59" s="84"/>
      <c r="C59" s="85"/>
      <c r="D59" s="85"/>
      <c r="E59" s="85"/>
      <c r="F59" s="85"/>
      <c r="G59" s="85"/>
      <c r="H59" s="85"/>
      <c r="I59" s="85"/>
      <c r="J59" s="85"/>
      <c r="K59" s="85"/>
      <c r="M59" s="84"/>
      <c r="N59" s="85"/>
    </row>
    <row r="60" spans="2:14" ht="12" customHeight="1">
      <c r="B60" s="84"/>
      <c r="C60" s="85"/>
      <c r="D60" s="85"/>
      <c r="E60" s="85"/>
      <c r="F60" s="85"/>
      <c r="G60" s="85"/>
      <c r="H60" s="85"/>
      <c r="I60" s="85"/>
      <c r="J60" s="85"/>
      <c r="K60" s="85"/>
      <c r="M60" s="84"/>
      <c r="N60" s="85"/>
    </row>
    <row r="61" spans="2:14" ht="12" customHeight="1">
      <c r="B61" s="84"/>
      <c r="C61" s="85"/>
      <c r="D61" s="85"/>
      <c r="E61" s="85"/>
      <c r="F61" s="85"/>
      <c r="G61" s="85"/>
      <c r="H61" s="85"/>
      <c r="I61" s="85"/>
      <c r="J61" s="85"/>
      <c r="K61" s="85"/>
      <c r="M61" s="84"/>
      <c r="N61" s="85"/>
    </row>
    <row r="62" spans="2:14" ht="12" customHeight="1">
      <c r="B62" s="84"/>
      <c r="C62" s="85"/>
      <c r="D62" s="85"/>
      <c r="E62" s="85"/>
      <c r="F62" s="85"/>
      <c r="G62" s="85"/>
      <c r="H62" s="85"/>
      <c r="I62" s="85"/>
      <c r="J62" s="85"/>
      <c r="K62" s="85"/>
      <c r="M62" s="84"/>
      <c r="N62" s="85"/>
    </row>
    <row r="63" spans="2:14" ht="12" customHeight="1">
      <c r="B63" s="84"/>
      <c r="C63" s="85"/>
      <c r="D63" s="85"/>
      <c r="E63" s="85"/>
      <c r="F63" s="85"/>
      <c r="G63" s="85"/>
      <c r="H63" s="85"/>
      <c r="I63" s="85"/>
      <c r="J63" s="85"/>
      <c r="K63" s="85"/>
      <c r="M63" s="84"/>
      <c r="N63" s="85"/>
    </row>
    <row r="64" spans="2:14" ht="12" customHeight="1">
      <c r="B64" s="84"/>
      <c r="C64" s="85"/>
      <c r="D64" s="85"/>
      <c r="E64" s="85"/>
      <c r="F64" s="85"/>
      <c r="G64" s="85"/>
      <c r="H64" s="85"/>
      <c r="I64" s="85"/>
      <c r="J64" s="85"/>
      <c r="K64" s="85"/>
      <c r="M64" s="84"/>
      <c r="N64" s="85"/>
    </row>
    <row r="65" spans="2:14" ht="12" customHeight="1">
      <c r="B65" s="84"/>
      <c r="C65" s="85"/>
      <c r="D65" s="85"/>
      <c r="E65" s="85"/>
      <c r="F65" s="85"/>
      <c r="G65" s="85"/>
      <c r="H65" s="85"/>
      <c r="I65" s="85"/>
      <c r="J65" s="85"/>
      <c r="K65" s="85"/>
      <c r="M65" s="84"/>
      <c r="N65" s="85"/>
    </row>
    <row r="66" spans="2:14" ht="12" customHeight="1">
      <c r="B66" s="84"/>
      <c r="C66" s="85"/>
      <c r="D66" s="85"/>
      <c r="E66" s="85"/>
      <c r="F66" s="85"/>
      <c r="G66" s="85"/>
      <c r="H66" s="85"/>
      <c r="I66" s="85"/>
      <c r="J66" s="85"/>
      <c r="K66" s="85"/>
      <c r="M66" s="84"/>
      <c r="N66" s="85"/>
    </row>
    <row r="67" spans="2:14" ht="12" customHeight="1">
      <c r="B67" s="84"/>
      <c r="C67" s="85"/>
      <c r="D67" s="85"/>
      <c r="E67" s="85"/>
      <c r="F67" s="85"/>
      <c r="G67" s="85"/>
      <c r="H67" s="85"/>
      <c r="I67" s="85"/>
      <c r="J67" s="85"/>
      <c r="K67" s="85"/>
      <c r="M67" s="84"/>
      <c r="N67" s="85"/>
    </row>
    <row r="68" spans="2:14" ht="12" customHeight="1">
      <c r="B68" s="84"/>
      <c r="C68" s="85"/>
      <c r="D68" s="85"/>
      <c r="E68" s="85"/>
      <c r="F68" s="85"/>
      <c r="G68" s="85"/>
      <c r="H68" s="85"/>
      <c r="I68" s="85"/>
      <c r="J68" s="85"/>
      <c r="K68" s="85"/>
      <c r="M68" s="84"/>
      <c r="N68" s="85"/>
    </row>
    <row r="69" spans="2:14" ht="12" customHeight="1">
      <c r="B69" s="84"/>
      <c r="C69" s="85"/>
      <c r="D69" s="85"/>
      <c r="E69" s="85"/>
      <c r="F69" s="85"/>
      <c r="G69" s="85"/>
      <c r="H69" s="85"/>
      <c r="I69" s="85"/>
      <c r="J69" s="85"/>
      <c r="K69" s="85"/>
      <c r="M69" s="84"/>
      <c r="N69" s="85"/>
    </row>
    <row r="70" spans="2:14" ht="12" customHeight="1">
      <c r="B70" s="84"/>
      <c r="C70" s="85"/>
      <c r="D70" s="85"/>
      <c r="E70" s="85"/>
      <c r="F70" s="85"/>
      <c r="G70" s="85"/>
      <c r="H70" s="85"/>
      <c r="I70" s="85"/>
      <c r="J70" s="85"/>
      <c r="K70" s="85"/>
      <c r="M70" s="84"/>
      <c r="N70" s="85"/>
    </row>
    <row r="71" spans="2:14" ht="12" customHeight="1">
      <c r="B71" s="84"/>
      <c r="C71" s="85"/>
      <c r="D71" s="85"/>
      <c r="E71" s="85"/>
      <c r="F71" s="85"/>
      <c r="G71" s="85"/>
      <c r="H71" s="85"/>
      <c r="I71" s="85"/>
      <c r="J71" s="85"/>
      <c r="K71" s="85"/>
      <c r="M71" s="84"/>
      <c r="N71" s="85"/>
    </row>
    <row r="72" spans="2:14" ht="12" customHeight="1">
      <c r="B72" s="84"/>
      <c r="C72" s="85"/>
      <c r="D72" s="85"/>
      <c r="E72" s="85"/>
      <c r="F72" s="85"/>
      <c r="G72" s="85"/>
      <c r="H72" s="85"/>
      <c r="I72" s="85"/>
      <c r="J72" s="85"/>
      <c r="K72" s="85"/>
      <c r="M72" s="84"/>
      <c r="N72" s="85"/>
    </row>
    <row r="73" spans="2:14" ht="12" customHeight="1">
      <c r="B73" s="84"/>
      <c r="C73" s="85"/>
      <c r="D73" s="85"/>
      <c r="E73" s="85"/>
      <c r="F73" s="85"/>
      <c r="G73" s="85"/>
      <c r="H73" s="85"/>
      <c r="I73" s="85"/>
      <c r="J73" s="85"/>
      <c r="K73" s="85"/>
      <c r="M73" s="84"/>
      <c r="N73" s="85"/>
    </row>
    <row r="74" spans="2:14" ht="12" customHeight="1">
      <c r="B74" s="84"/>
      <c r="C74" s="85"/>
      <c r="D74" s="85"/>
      <c r="E74" s="85"/>
      <c r="F74" s="85"/>
      <c r="G74" s="85"/>
      <c r="H74" s="85"/>
      <c r="I74" s="85"/>
      <c r="J74" s="85"/>
      <c r="K74" s="85"/>
      <c r="M74" s="84"/>
      <c r="N74" s="85"/>
    </row>
    <row r="75" spans="2:14" ht="12" customHeight="1">
      <c r="B75" s="84"/>
      <c r="C75" s="85"/>
      <c r="D75" s="85"/>
      <c r="E75" s="85"/>
      <c r="F75" s="85"/>
      <c r="G75" s="85"/>
      <c r="H75" s="85"/>
      <c r="I75" s="85"/>
      <c r="J75" s="85"/>
      <c r="K75" s="85"/>
      <c r="M75" s="84"/>
      <c r="N75" s="85"/>
    </row>
    <row r="76" spans="2:14" ht="12" customHeight="1">
      <c r="B76" s="84"/>
      <c r="C76" s="85"/>
      <c r="D76" s="85"/>
      <c r="E76" s="85"/>
      <c r="F76" s="85"/>
      <c r="G76" s="85"/>
      <c r="H76" s="85"/>
      <c r="I76" s="85"/>
      <c r="J76" s="85"/>
      <c r="K76" s="85"/>
      <c r="M76" s="84"/>
      <c r="N76" s="85"/>
    </row>
    <row r="77" spans="2:14" ht="12" customHeight="1">
      <c r="B77" s="84"/>
      <c r="C77" s="85"/>
      <c r="D77" s="85"/>
      <c r="E77" s="85"/>
      <c r="F77" s="85"/>
      <c r="G77" s="85"/>
      <c r="H77" s="85"/>
      <c r="I77" s="85"/>
      <c r="J77" s="85"/>
      <c r="K77" s="85"/>
      <c r="M77" s="84"/>
      <c r="N77" s="85"/>
    </row>
    <row r="78" spans="2:14" ht="12" customHeight="1">
      <c r="B78" s="84"/>
      <c r="C78" s="85"/>
      <c r="D78" s="85"/>
      <c r="E78" s="85"/>
      <c r="F78" s="85"/>
      <c r="G78" s="85"/>
      <c r="H78" s="85"/>
      <c r="I78" s="85"/>
      <c r="J78" s="85"/>
      <c r="K78" s="85"/>
      <c r="M78" s="84"/>
      <c r="N78" s="85"/>
    </row>
    <row r="79" spans="2:14" ht="12" customHeight="1">
      <c r="B79" s="84"/>
      <c r="C79" s="85"/>
      <c r="D79" s="85"/>
      <c r="E79" s="85"/>
      <c r="F79" s="85"/>
      <c r="G79" s="85"/>
      <c r="H79" s="85"/>
      <c r="I79" s="85"/>
      <c r="J79" s="85"/>
      <c r="K79" s="85"/>
      <c r="M79" s="84"/>
      <c r="N79" s="85"/>
    </row>
    <row r="80" spans="2:14" ht="12" customHeight="1">
      <c r="B80" s="84"/>
      <c r="C80" s="85"/>
      <c r="D80" s="85"/>
      <c r="E80" s="85"/>
      <c r="F80" s="85"/>
      <c r="G80" s="85"/>
      <c r="H80" s="85"/>
      <c r="I80" s="85"/>
      <c r="J80" s="85"/>
      <c r="K80" s="85"/>
      <c r="M80" s="84"/>
      <c r="N80" s="85"/>
    </row>
    <row r="81" spans="2:14" ht="12" customHeight="1">
      <c r="B81" s="84"/>
      <c r="C81" s="85"/>
      <c r="D81" s="85"/>
      <c r="E81" s="85"/>
      <c r="F81" s="85"/>
      <c r="G81" s="85"/>
      <c r="H81" s="85"/>
      <c r="I81" s="85"/>
      <c r="J81" s="85"/>
      <c r="K81" s="85"/>
      <c r="M81" s="84"/>
      <c r="N81" s="85"/>
    </row>
    <row r="82" spans="2:14" ht="12" customHeight="1">
      <c r="B82" s="84"/>
      <c r="C82" s="85"/>
      <c r="D82" s="85"/>
      <c r="E82" s="85"/>
      <c r="F82" s="85"/>
      <c r="G82" s="85"/>
      <c r="H82" s="85"/>
      <c r="I82" s="85"/>
      <c r="J82" s="85"/>
      <c r="K82" s="85"/>
      <c r="M82" s="84"/>
      <c r="N82" s="85"/>
    </row>
    <row r="83" spans="2:14" ht="12" customHeight="1">
      <c r="B83" s="84"/>
      <c r="C83" s="85"/>
      <c r="D83" s="85"/>
      <c r="E83" s="85"/>
      <c r="F83" s="85"/>
      <c r="G83" s="85"/>
      <c r="H83" s="85"/>
      <c r="I83" s="85"/>
      <c r="J83" s="85"/>
      <c r="K83" s="85"/>
      <c r="M83" s="84"/>
      <c r="N83" s="85"/>
    </row>
    <row r="84" spans="2:14" ht="12" customHeight="1">
      <c r="B84" s="84"/>
      <c r="C84" s="85"/>
      <c r="D84" s="85"/>
      <c r="E84" s="85"/>
      <c r="F84" s="85"/>
      <c r="G84" s="85"/>
      <c r="H84" s="85"/>
      <c r="I84" s="85"/>
      <c r="J84" s="85"/>
      <c r="K84" s="85"/>
      <c r="M84" s="84"/>
      <c r="N84" s="85"/>
    </row>
    <row r="85" spans="2:14" ht="12" customHeight="1">
      <c r="B85" s="84"/>
      <c r="C85" s="85"/>
      <c r="D85" s="85"/>
      <c r="E85" s="85"/>
      <c r="F85" s="85"/>
      <c r="G85" s="85"/>
      <c r="H85" s="85"/>
      <c r="I85" s="85"/>
      <c r="J85" s="85"/>
      <c r="K85" s="85"/>
      <c r="M85" s="84"/>
      <c r="N85" s="85"/>
    </row>
    <row r="86" spans="2:14" ht="12" customHeight="1">
      <c r="B86" s="84"/>
      <c r="C86" s="85"/>
      <c r="D86" s="85"/>
      <c r="E86" s="85"/>
      <c r="F86" s="85"/>
      <c r="G86" s="85"/>
      <c r="H86" s="85"/>
      <c r="I86" s="85"/>
      <c r="J86" s="85"/>
      <c r="K86" s="85"/>
      <c r="M86" s="84"/>
      <c r="N86" s="85"/>
    </row>
    <row r="87" spans="2:14" ht="12" customHeight="1">
      <c r="B87" s="84"/>
      <c r="C87" s="85"/>
      <c r="D87" s="85"/>
      <c r="E87" s="85"/>
      <c r="F87" s="85"/>
      <c r="G87" s="85"/>
      <c r="H87" s="85"/>
      <c r="I87" s="85"/>
      <c r="J87" s="85"/>
      <c r="K87" s="85"/>
      <c r="M87" s="84"/>
      <c r="N87" s="85"/>
    </row>
    <row r="88" spans="2:14" ht="12" customHeight="1">
      <c r="B88" s="84"/>
      <c r="C88" s="85"/>
      <c r="D88" s="85"/>
      <c r="E88" s="85"/>
      <c r="F88" s="85"/>
      <c r="G88" s="85"/>
      <c r="H88" s="85"/>
      <c r="I88" s="85"/>
      <c r="J88" s="85"/>
      <c r="K88" s="85"/>
      <c r="M88" s="84"/>
      <c r="N88" s="85"/>
    </row>
    <row r="89" spans="2:14" ht="12" customHeight="1">
      <c r="B89" s="84"/>
      <c r="C89" s="85"/>
      <c r="D89" s="85"/>
      <c r="E89" s="85"/>
      <c r="F89" s="85"/>
      <c r="G89" s="85"/>
      <c r="H89" s="85"/>
      <c r="I89" s="85"/>
      <c r="J89" s="85"/>
      <c r="K89" s="85"/>
      <c r="M89" s="84"/>
      <c r="N89" s="85"/>
    </row>
    <row r="90" spans="2:14" ht="12" customHeight="1">
      <c r="B90" s="84"/>
      <c r="C90" s="85"/>
      <c r="D90" s="85"/>
      <c r="E90" s="85"/>
      <c r="F90" s="85"/>
      <c r="G90" s="85"/>
      <c r="H90" s="85"/>
      <c r="I90" s="85"/>
      <c r="J90" s="85"/>
      <c r="K90" s="85"/>
      <c r="M90" s="84"/>
      <c r="N90" s="85"/>
    </row>
    <row r="91" spans="2:14" ht="12" customHeight="1">
      <c r="B91" s="84"/>
      <c r="C91" s="85"/>
      <c r="D91" s="85"/>
      <c r="E91" s="85"/>
      <c r="F91" s="85"/>
      <c r="G91" s="85"/>
      <c r="H91" s="85"/>
      <c r="I91" s="85"/>
      <c r="J91" s="85"/>
      <c r="K91" s="85"/>
      <c r="M91" s="84"/>
      <c r="N91" s="85"/>
    </row>
    <row r="92" spans="2:14" ht="12" customHeight="1">
      <c r="B92" s="84"/>
      <c r="C92" s="85"/>
      <c r="D92" s="85"/>
      <c r="E92" s="85"/>
      <c r="F92" s="85"/>
      <c r="G92" s="85"/>
      <c r="H92" s="85"/>
      <c r="I92" s="85"/>
      <c r="J92" s="85"/>
      <c r="K92" s="85"/>
      <c r="M92" s="84"/>
      <c r="N92" s="85"/>
    </row>
    <row r="93" spans="2:14" ht="12" customHeight="1">
      <c r="B93" s="84"/>
      <c r="C93" s="85"/>
      <c r="D93" s="85"/>
      <c r="E93" s="85"/>
      <c r="F93" s="85"/>
      <c r="G93" s="85"/>
      <c r="H93" s="85"/>
      <c r="I93" s="85"/>
      <c r="J93" s="85"/>
      <c r="K93" s="85"/>
      <c r="M93" s="84"/>
      <c r="N93" s="85"/>
    </row>
    <row r="94" spans="2:14" ht="12" customHeight="1">
      <c r="B94" s="84"/>
      <c r="C94" s="85"/>
      <c r="D94" s="85"/>
      <c r="E94" s="85"/>
      <c r="F94" s="85"/>
      <c r="G94" s="85"/>
      <c r="H94" s="85"/>
      <c r="I94" s="85"/>
      <c r="J94" s="85"/>
      <c r="K94" s="85"/>
      <c r="M94" s="84"/>
      <c r="N94" s="85"/>
    </row>
    <row r="95" spans="2:14" ht="12" customHeight="1">
      <c r="B95" s="84"/>
      <c r="C95" s="85"/>
      <c r="D95" s="85"/>
      <c r="E95" s="85"/>
      <c r="F95" s="85"/>
      <c r="G95" s="85"/>
      <c r="H95" s="85"/>
      <c r="I95" s="85"/>
      <c r="J95" s="85"/>
      <c r="K95" s="85"/>
      <c r="M95" s="84"/>
      <c r="N95" s="85"/>
    </row>
    <row r="96" spans="2:14" ht="12" customHeight="1">
      <c r="B96" s="84"/>
      <c r="C96" s="85"/>
      <c r="D96" s="85"/>
      <c r="E96" s="85"/>
      <c r="F96" s="85"/>
      <c r="G96" s="85"/>
      <c r="H96" s="85"/>
      <c r="I96" s="85"/>
      <c r="J96" s="85"/>
      <c r="K96" s="85"/>
      <c r="M96" s="84"/>
      <c r="N96" s="85"/>
    </row>
    <row r="97" spans="2:14" ht="12" customHeight="1">
      <c r="B97" s="84"/>
      <c r="C97" s="85"/>
      <c r="D97" s="85"/>
      <c r="E97" s="85"/>
      <c r="F97" s="85"/>
      <c r="G97" s="85"/>
      <c r="H97" s="85"/>
      <c r="I97" s="85"/>
      <c r="J97" s="85"/>
      <c r="K97" s="85"/>
      <c r="M97" s="84"/>
      <c r="N97" s="85"/>
    </row>
    <row r="98" spans="2:14" ht="12" customHeight="1">
      <c r="B98" s="84"/>
      <c r="C98" s="85"/>
      <c r="D98" s="85"/>
      <c r="E98" s="85"/>
      <c r="F98" s="85"/>
      <c r="G98" s="85"/>
      <c r="H98" s="85"/>
      <c r="I98" s="85"/>
      <c r="J98" s="85"/>
      <c r="K98" s="85"/>
      <c r="M98" s="84"/>
      <c r="N98" s="85"/>
    </row>
    <row r="99" spans="2:14" ht="12" customHeight="1">
      <c r="B99" s="84"/>
      <c r="C99" s="85"/>
      <c r="D99" s="85"/>
      <c r="E99" s="85"/>
      <c r="F99" s="85"/>
      <c r="G99" s="85"/>
      <c r="H99" s="85"/>
      <c r="I99" s="85"/>
      <c r="J99" s="85"/>
      <c r="K99" s="85"/>
      <c r="M99" s="84"/>
      <c r="N99" s="85"/>
    </row>
    <row r="100" spans="2:14" ht="12" customHeight="1">
      <c r="B100" s="84"/>
      <c r="C100" s="85"/>
      <c r="D100" s="85"/>
      <c r="E100" s="85"/>
      <c r="F100" s="85"/>
      <c r="G100" s="85"/>
      <c r="H100" s="85"/>
      <c r="I100" s="85"/>
      <c r="J100" s="85"/>
      <c r="K100" s="85"/>
      <c r="M100" s="84"/>
      <c r="N100" s="85"/>
    </row>
    <row r="101" spans="2:14" ht="12" customHeight="1">
      <c r="B101" s="84"/>
      <c r="C101" s="85"/>
      <c r="D101" s="85"/>
      <c r="E101" s="85"/>
      <c r="F101" s="85"/>
      <c r="G101" s="85"/>
      <c r="H101" s="85"/>
      <c r="I101" s="85"/>
      <c r="J101" s="85"/>
      <c r="K101" s="85"/>
      <c r="M101" s="84"/>
      <c r="N101" s="85"/>
    </row>
    <row r="102" spans="2:14" ht="12" customHeight="1">
      <c r="B102" s="84"/>
      <c r="C102" s="85"/>
      <c r="D102" s="85"/>
      <c r="E102" s="85"/>
      <c r="F102" s="85"/>
      <c r="G102" s="85"/>
      <c r="H102" s="85"/>
      <c r="I102" s="85"/>
      <c r="J102" s="85"/>
      <c r="K102" s="85"/>
      <c r="M102" s="84"/>
      <c r="N102" s="85"/>
    </row>
    <row r="103" spans="2:14" ht="12" customHeight="1">
      <c r="B103" s="84"/>
      <c r="C103" s="85"/>
      <c r="D103" s="85"/>
      <c r="E103" s="85"/>
      <c r="F103" s="85"/>
      <c r="G103" s="85"/>
      <c r="H103" s="85"/>
      <c r="I103" s="85"/>
      <c r="J103" s="85"/>
      <c r="K103" s="85"/>
      <c r="M103" s="84"/>
      <c r="N103" s="85"/>
    </row>
    <row r="104" spans="2:14" ht="12" customHeight="1">
      <c r="B104" s="84"/>
      <c r="C104" s="85"/>
      <c r="D104" s="85"/>
      <c r="E104" s="85"/>
      <c r="F104" s="85"/>
      <c r="G104" s="85"/>
      <c r="H104" s="85"/>
      <c r="I104" s="85"/>
      <c r="J104" s="85"/>
      <c r="K104" s="85"/>
      <c r="M104" s="84"/>
      <c r="N104" s="85"/>
    </row>
    <row r="105" spans="2:14" ht="12" customHeight="1">
      <c r="B105" s="84"/>
      <c r="C105" s="85"/>
      <c r="D105" s="85"/>
      <c r="E105" s="85"/>
      <c r="F105" s="85"/>
      <c r="G105" s="85"/>
      <c r="H105" s="85"/>
      <c r="I105" s="85"/>
      <c r="J105" s="85"/>
      <c r="K105" s="85"/>
      <c r="M105" s="84"/>
      <c r="N105" s="85"/>
    </row>
    <row r="106" spans="2:14" ht="12" customHeight="1">
      <c r="B106" s="84"/>
      <c r="C106" s="85"/>
      <c r="D106" s="85"/>
      <c r="E106" s="85"/>
      <c r="F106" s="85"/>
      <c r="G106" s="85"/>
      <c r="H106" s="85"/>
      <c r="I106" s="85"/>
      <c r="J106" s="85"/>
      <c r="K106" s="85"/>
      <c r="M106" s="84"/>
      <c r="N106" s="85"/>
    </row>
    <row r="107" spans="2:14" ht="12" customHeight="1">
      <c r="B107" s="84"/>
      <c r="C107" s="85"/>
      <c r="D107" s="85"/>
      <c r="E107" s="85"/>
      <c r="F107" s="85"/>
      <c r="G107" s="85"/>
      <c r="H107" s="85"/>
      <c r="I107" s="85"/>
      <c r="J107" s="85"/>
      <c r="K107" s="85"/>
      <c r="M107" s="84"/>
      <c r="N107" s="85"/>
    </row>
  </sheetData>
  <mergeCells count="9">
    <mergeCell ref="C8:D8"/>
    <mergeCell ref="L13:L24"/>
    <mergeCell ref="M1:N3"/>
    <mergeCell ref="F6:H6"/>
    <mergeCell ref="C5:E5"/>
    <mergeCell ref="F5:H5"/>
    <mergeCell ref="C6:E6"/>
    <mergeCell ref="A1:D1"/>
    <mergeCell ref="E1:J1"/>
  </mergeCells>
  <phoneticPr fontId="54" type="noConversion"/>
  <pageMargins left="1.05" right="0.95" top="0.52" bottom="0.68" header="0.5" footer="0.5"/>
  <pageSetup orientation="landscape" horizontalDpi="300" verticalDpi="300" r:id="rId1"/>
  <headerFooter alignWithMargins="0">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pageSetUpPr fitToPage="1"/>
  </sheetPr>
  <dimension ref="A1:AV42"/>
  <sheetViews>
    <sheetView showGridLines="0" showZeros="0" defaultGridColor="0" colorId="8" zoomScaleNormal="100" workbookViewId="0">
      <selection sqref="A1:D1"/>
    </sheetView>
  </sheetViews>
  <sheetFormatPr defaultColWidth="0" defaultRowHeight="0" customHeight="1" zeroHeight="1"/>
  <cols>
    <col min="1" max="1" width="36.125" style="85" customWidth="1"/>
    <col min="2" max="2" width="4.75" style="134" customWidth="1"/>
    <col min="3" max="4" width="5.625" style="274" customWidth="1"/>
    <col min="5" max="5" width="7.625" style="274" customWidth="1"/>
    <col min="6" max="7" width="5.625" style="274" customWidth="1"/>
    <col min="8" max="8" width="7.625" style="274" customWidth="1"/>
    <col min="9" max="9" width="5.625" style="274" customWidth="1"/>
    <col min="10" max="10" width="5" style="274" customWidth="1"/>
    <col min="11" max="11" width="6.5" style="274" customWidth="1"/>
    <col min="12" max="12" width="6.75" style="85" customWidth="1"/>
    <col min="13" max="13" width="9" style="134" customWidth="1"/>
    <col min="14" max="14" width="9.25" style="274" customWidth="1"/>
    <col min="15" max="15" width="1.875" style="319" customWidth="1"/>
    <col min="16" max="16" width="6.625" style="85" hidden="1" customWidth="1"/>
    <col min="17" max="17" width="6.875" style="114" hidden="1" customWidth="1"/>
    <col min="18" max="18" width="6.625" style="114" hidden="1" customWidth="1"/>
    <col min="19" max="48" width="6.625" style="85" hidden="1" customWidth="1"/>
    <col min="49" max="16384" width="0" style="85" hidden="1"/>
  </cols>
  <sheetData>
    <row r="1" spans="1:18" s="74" customFormat="1" ht="37.15">
      <c r="A1" s="1079" t="str">
        <f>'99'!A90&amp;" CREDIT HOURS"</f>
        <v>FALL 2021 CREDIT HOURS</v>
      </c>
      <c r="B1" s="1079"/>
      <c r="C1" s="1079"/>
      <c r="D1" s="1079"/>
      <c r="E1" s="1087" t="s">
        <v>373</v>
      </c>
      <c r="F1" s="1087"/>
      <c r="G1" s="1087"/>
      <c r="H1" s="1087"/>
      <c r="I1" s="1087"/>
      <c r="J1" s="1087"/>
      <c r="K1" s="546" t="str">
        <f>+'99'!A2</f>
        <v>2122</v>
      </c>
      <c r="L1" s="644" t="s">
        <v>61</v>
      </c>
      <c r="M1" s="1083" t="s">
        <v>374</v>
      </c>
      <c r="N1" s="1084"/>
      <c r="O1" s="322">
        <f>IF(COUNT(C13:H18,C22:H27)&gt;0,1,0)</f>
        <v>0</v>
      </c>
      <c r="P1" s="72"/>
      <c r="Q1" s="72"/>
      <c r="R1" s="72"/>
    </row>
    <row r="2" spans="1:18" s="74" customFormat="1" ht="13.5" customHeight="1">
      <c r="A2" s="669"/>
      <c r="B2" s="643"/>
      <c r="C2" s="644"/>
      <c r="D2" s="644"/>
      <c r="E2" s="644"/>
      <c r="F2" s="644"/>
      <c r="G2" s="644"/>
      <c r="H2" s="644"/>
      <c r="I2" s="644"/>
      <c r="J2" s="644"/>
      <c r="K2" s="546" t="s">
        <v>342</v>
      </c>
      <c r="L2" s="644" t="s">
        <v>61</v>
      </c>
      <c r="M2" s="1084"/>
      <c r="N2" s="1084"/>
      <c r="O2" s="322">
        <f>COUNTIF(M13:N29,"=ERROR")</f>
        <v>0</v>
      </c>
      <c r="P2" s="72"/>
      <c r="Q2" s="72"/>
      <c r="R2" s="72"/>
    </row>
    <row r="3" spans="1:18" ht="13.5" customHeight="1">
      <c r="A3" s="323" t="str">
        <f>'99'!A3</f>
        <v>Western Connecticut State University</v>
      </c>
      <c r="B3" s="238"/>
      <c r="C3" s="647"/>
      <c r="D3" s="644"/>
      <c r="E3" s="648"/>
      <c r="F3" s="644"/>
      <c r="G3" s="644"/>
      <c r="H3" s="644"/>
      <c r="I3" s="647"/>
      <c r="J3" s="644"/>
      <c r="K3" s="644"/>
      <c r="L3" s="644"/>
      <c r="M3" s="1084"/>
      <c r="N3" s="1084"/>
      <c r="O3" s="322"/>
      <c r="P3" s="72"/>
      <c r="Q3" s="72"/>
      <c r="R3" s="72"/>
    </row>
    <row r="4" spans="1:18" ht="12" customHeight="1" thickBot="1">
      <c r="A4" s="324">
        <f>'99'!A4</f>
        <v>130776</v>
      </c>
      <c r="B4" s="658"/>
      <c r="C4" s="650"/>
      <c r="D4"/>
      <c r="E4" s="651"/>
      <c r="F4"/>
      <c r="G4"/>
      <c r="H4"/>
      <c r="I4" s="650"/>
      <c r="J4"/>
      <c r="K4"/>
      <c r="L4" s="652">
        <v>0</v>
      </c>
      <c r="M4"/>
      <c r="N4"/>
      <c r="O4" s="653" t="s">
        <v>61</v>
      </c>
      <c r="P4" s="270"/>
      <c r="Q4" s="271"/>
      <c r="R4" s="271"/>
    </row>
    <row r="5" spans="1:18" ht="18.600000000000001" customHeight="1" thickTop="1">
      <c r="A5" s="654"/>
      <c r="B5" s="670"/>
      <c r="C5" s="1073" t="s">
        <v>343</v>
      </c>
      <c r="D5" s="1074"/>
      <c r="E5" s="1075"/>
      <c r="F5" s="1086" t="s">
        <v>344</v>
      </c>
      <c r="G5" s="1074"/>
      <c r="H5" s="1074"/>
      <c r="I5" s="799" t="s">
        <v>61</v>
      </c>
      <c r="J5" s="326"/>
      <c r="K5" s="327" t="s">
        <v>83</v>
      </c>
      <c r="L5" s="652">
        <v>0</v>
      </c>
      <c r="M5" s="631" t="s">
        <v>224</v>
      </c>
      <c r="N5" s="632"/>
      <c r="O5" s="653" t="s">
        <v>61</v>
      </c>
      <c r="P5" s="270"/>
      <c r="Q5" s="271"/>
      <c r="R5" s="271"/>
    </row>
    <row r="6" spans="1:18" ht="18.600000000000001" customHeight="1" thickBot="1">
      <c r="A6" s="315" t="str">
        <f>+'99'!N3</f>
        <v>Jerry Wilcox</v>
      </c>
      <c r="B6" s="670"/>
      <c r="C6" s="1076" t="s">
        <v>345</v>
      </c>
      <c r="D6" s="1077"/>
      <c r="E6" s="1078"/>
      <c r="F6" s="1085" t="s">
        <v>345</v>
      </c>
      <c r="G6" s="1071"/>
      <c r="H6" s="1071"/>
      <c r="I6" s="331" t="s">
        <v>346</v>
      </c>
      <c r="J6" s="329"/>
      <c r="K6" s="330" t="s">
        <v>347</v>
      </c>
      <c r="L6" s="652">
        <v>0</v>
      </c>
      <c r="M6" s="344" t="s">
        <v>346</v>
      </c>
      <c r="N6" s="633"/>
      <c r="O6" s="653" t="s">
        <v>61</v>
      </c>
      <c r="P6" s="270"/>
      <c r="Q6" s="271"/>
      <c r="R6" s="271"/>
    </row>
    <row r="7" spans="1:18" ht="12" customHeight="1" thickTop="1">
      <c r="A7" s="316" t="str">
        <f>+'99'!N4</f>
        <v>Director, Institutional Research and Assessment</v>
      </c>
      <c r="B7" s="670"/>
      <c r="C7" s="331"/>
      <c r="D7" s="329"/>
      <c r="E7" s="332" t="s">
        <v>347</v>
      </c>
      <c r="F7" s="328"/>
      <c r="G7" s="329"/>
      <c r="H7" s="791" t="s">
        <v>347</v>
      </c>
      <c r="I7" s="331" t="s">
        <v>83</v>
      </c>
      <c r="J7" s="329"/>
      <c r="K7" s="330" t="s">
        <v>348</v>
      </c>
      <c r="L7" s="652">
        <v>0</v>
      </c>
      <c r="M7" s="344" t="s">
        <v>83</v>
      </c>
      <c r="N7" s="633"/>
      <c r="O7" s="653" t="s">
        <v>61</v>
      </c>
      <c r="P7" s="270"/>
      <c r="Q7" s="271"/>
      <c r="R7" s="271"/>
    </row>
    <row r="8" spans="1:18" ht="12" customHeight="1" thickBot="1">
      <c r="A8" s="317" t="str">
        <f>+'99'!N5</f>
        <v>203-837-8242</v>
      </c>
      <c r="B8" s="671"/>
      <c r="C8" s="1064" t="s">
        <v>349</v>
      </c>
      <c r="D8" s="1065"/>
      <c r="E8" s="335" t="s">
        <v>348</v>
      </c>
      <c r="F8" s="339" t="s">
        <v>349</v>
      </c>
      <c r="G8" s="337"/>
      <c r="H8" s="792" t="s">
        <v>348</v>
      </c>
      <c r="I8" s="336" t="s">
        <v>350</v>
      </c>
      <c r="J8" s="337"/>
      <c r="K8" s="340" t="s">
        <v>351</v>
      </c>
      <c r="L8" s="652">
        <v>0</v>
      </c>
      <c r="M8" s="345" t="s">
        <v>350</v>
      </c>
      <c r="N8" s="634"/>
      <c r="O8" s="653" t="s">
        <v>61</v>
      </c>
      <c r="P8" s="270"/>
      <c r="Q8" s="271"/>
      <c r="R8" s="271"/>
    </row>
    <row r="9" spans="1:18" s="84" customFormat="1" ht="12" customHeight="1">
      <c r="A9" s="348"/>
      <c r="B9" s="623" t="s">
        <v>80</v>
      </c>
      <c r="C9" s="341" t="s">
        <v>81</v>
      </c>
      <c r="D9" s="102" t="s">
        <v>82</v>
      </c>
      <c r="E9" s="332" t="s">
        <v>61</v>
      </c>
      <c r="F9" s="103" t="s">
        <v>81</v>
      </c>
      <c r="G9" s="102" t="s">
        <v>82</v>
      </c>
      <c r="H9" s="623">
        <v>0</v>
      </c>
      <c r="I9" s="341" t="s">
        <v>352</v>
      </c>
      <c r="J9" s="102" t="s">
        <v>353</v>
      </c>
      <c r="K9" s="102" t="s">
        <v>61</v>
      </c>
      <c r="L9" s="658">
        <v>0</v>
      </c>
      <c r="M9" s="346" t="s">
        <v>81</v>
      </c>
      <c r="N9" s="346" t="s">
        <v>82</v>
      </c>
      <c r="O9" s="653"/>
      <c r="Q9" s="272"/>
      <c r="R9" s="272"/>
    </row>
    <row r="10" spans="1:18" ht="12" customHeight="1">
      <c r="A10" s="350"/>
      <c r="B10" s="351" t="s">
        <v>354</v>
      </c>
      <c r="C10" s="342" t="s">
        <v>86</v>
      </c>
      <c r="D10" s="109" t="s">
        <v>87</v>
      </c>
      <c r="E10" s="343" t="s">
        <v>88</v>
      </c>
      <c r="F10" s="106" t="s">
        <v>89</v>
      </c>
      <c r="G10" s="109" t="s">
        <v>90</v>
      </c>
      <c r="H10" s="356" t="s">
        <v>91</v>
      </c>
      <c r="I10" s="342" t="s">
        <v>92</v>
      </c>
      <c r="J10" s="109" t="s">
        <v>93</v>
      </c>
      <c r="K10" s="109" t="s">
        <v>94</v>
      </c>
      <c r="L10" s="659"/>
      <c r="M10" s="347" t="s">
        <v>92</v>
      </c>
      <c r="N10" s="347" t="s">
        <v>93</v>
      </c>
      <c r="O10" s="660"/>
      <c r="P10" s="127"/>
      <c r="Q10" s="129"/>
      <c r="R10" s="129"/>
    </row>
    <row r="11" spans="1:18" ht="18" customHeight="1">
      <c r="A11" s="352" t="s">
        <v>355</v>
      </c>
      <c r="B11" s="348"/>
      <c r="C11" s="515"/>
      <c r="D11" s="53"/>
      <c r="E11" s="516"/>
      <c r="F11" s="53"/>
      <c r="G11" s="53"/>
      <c r="H11" s="53"/>
      <c r="I11" s="515"/>
      <c r="J11" s="53"/>
      <c r="K11" s="279">
        <f>E11+H11</f>
        <v>0</v>
      </c>
      <c r="L11" s="661"/>
      <c r="M11" s="672"/>
      <c r="N11" s="673"/>
      <c r="O11" s="653"/>
    </row>
    <row r="12" spans="1:18" s="275" customFormat="1" ht="15.95" customHeight="1">
      <c r="A12" s="353" t="s">
        <v>356</v>
      </c>
      <c r="B12" s="354"/>
      <c r="C12" s="517"/>
      <c r="D12" s="54"/>
      <c r="E12" s="518"/>
      <c r="F12" s="54"/>
      <c r="G12" s="54"/>
      <c r="H12" s="54"/>
      <c r="I12" s="517"/>
      <c r="J12" s="54"/>
      <c r="K12" s="280"/>
      <c r="L12" s="654"/>
      <c r="M12" s="674"/>
      <c r="N12" s="675"/>
      <c r="O12" s="662"/>
      <c r="Q12" s="276"/>
      <c r="R12" s="276"/>
    </row>
    <row r="13" spans="1:18" ht="15" customHeight="1">
      <c r="A13" s="355" t="s">
        <v>357</v>
      </c>
      <c r="B13" s="356" t="s">
        <v>358</v>
      </c>
      <c r="C13" s="372"/>
      <c r="D13" s="41"/>
      <c r="E13" s="282"/>
      <c r="F13" s="40"/>
      <c r="G13" s="451"/>
      <c r="H13" s="793"/>
      <c r="I13" s="285">
        <f t="shared" ref="I13:K15" si="0">C13+F13</f>
        <v>0</v>
      </c>
      <c r="J13" s="296">
        <f t="shared" si="0"/>
        <v>0</v>
      </c>
      <c r="K13" s="280">
        <f t="shared" si="0"/>
        <v>0</v>
      </c>
      <c r="L13" s="1081" t="s">
        <v>374</v>
      </c>
      <c r="M13" s="314" t="str">
        <f>IF($O1=0,"",IF(SUM('99'!U18:U24)=I13,"OK","ERROR"))</f>
        <v/>
      </c>
      <c r="N13" s="314" t="str">
        <f>IF($O1=0,"",IF(SUM('99'!V18:V24)=J13,"OK","ERROR"))</f>
        <v/>
      </c>
      <c r="O13" s="653"/>
    </row>
    <row r="14" spans="1:18" ht="15" hidden="1" customHeight="1">
      <c r="A14" s="355" t="s">
        <v>359</v>
      </c>
      <c r="B14" s="356" t="s">
        <v>360</v>
      </c>
      <c r="C14" s="373"/>
      <c r="D14" s="451"/>
      <c r="E14" s="283"/>
      <c r="F14" s="45"/>
      <c r="G14" s="451"/>
      <c r="H14" s="793"/>
      <c r="I14" s="287">
        <f t="shared" si="0"/>
        <v>0</v>
      </c>
      <c r="J14" s="277">
        <f t="shared" si="0"/>
        <v>0</v>
      </c>
      <c r="K14" s="280">
        <f t="shared" si="0"/>
        <v>0</v>
      </c>
      <c r="L14" s="1082"/>
      <c r="M14" s="311" t="str">
        <f>IF($O1=0,"",IF('99'!U28+'99'!U29=I14,"OK","ERROR"))</f>
        <v/>
      </c>
      <c r="N14" s="311" t="str">
        <f>IF($O1=0,"",IF('99'!V28+'99'!V29=J14,"OK","ERROR"))</f>
        <v/>
      </c>
      <c r="O14" s="653"/>
    </row>
    <row r="15" spans="1:18" ht="29.25" customHeight="1">
      <c r="A15" s="930" t="s">
        <v>361</v>
      </c>
      <c r="B15" s="356" t="s">
        <v>362</v>
      </c>
      <c r="C15" s="373"/>
      <c r="D15" s="451"/>
      <c r="E15" s="283"/>
      <c r="F15" s="45"/>
      <c r="G15" s="451"/>
      <c r="H15" s="793"/>
      <c r="I15" s="287">
        <f t="shared" si="0"/>
        <v>0</v>
      </c>
      <c r="J15" s="277">
        <f t="shared" si="0"/>
        <v>0</v>
      </c>
      <c r="K15" s="280">
        <f t="shared" si="0"/>
        <v>0</v>
      </c>
      <c r="L15" s="1082"/>
      <c r="M15" s="311" t="str">
        <f>IF($O1=0,"",IF('99'!U32+'99'!U33=I15,"OK","ERROR"))</f>
        <v/>
      </c>
      <c r="N15" s="311" t="str">
        <f>IF($O1=0,"",IF('99'!V32+'99'!V33=J15,"OK","ERROR"))</f>
        <v/>
      </c>
      <c r="O15" s="653"/>
    </row>
    <row r="16" spans="1:18" ht="17.100000000000001" customHeight="1">
      <c r="A16" s="929" t="s">
        <v>363</v>
      </c>
      <c r="B16" s="358"/>
      <c r="C16" s="519"/>
      <c r="D16" s="295"/>
      <c r="E16" s="663" t="s">
        <v>61</v>
      </c>
      <c r="F16" s="53"/>
      <c r="G16" s="53"/>
      <c r="H16" s="53"/>
      <c r="I16" s="515"/>
      <c r="J16" s="53"/>
      <c r="K16" s="279"/>
      <c r="L16" s="1082"/>
      <c r="M16" s="513"/>
      <c r="N16" s="514"/>
      <c r="O16" s="653"/>
    </row>
    <row r="17" spans="1:16" ht="15" customHeight="1">
      <c r="A17" s="360" t="s">
        <v>357</v>
      </c>
      <c r="B17" s="356" t="s">
        <v>124</v>
      </c>
      <c r="C17" s="373"/>
      <c r="D17" s="451"/>
      <c r="E17" s="283"/>
      <c r="F17" s="40"/>
      <c r="G17" s="452"/>
      <c r="H17" s="794"/>
      <c r="I17" s="285">
        <f t="shared" ref="I17:K19" si="1">C17+F17</f>
        <v>0</v>
      </c>
      <c r="J17" s="296">
        <f t="shared" si="1"/>
        <v>0</v>
      </c>
      <c r="K17" s="286">
        <f t="shared" si="1"/>
        <v>0</v>
      </c>
      <c r="L17" s="1082"/>
      <c r="M17" s="314" t="str">
        <f>IF($O1=0,"",IF('99'!U25=I17,"OK","ERROR"))</f>
        <v/>
      </c>
      <c r="N17" s="314" t="str">
        <f>IF($O1=0,"",IF('99'!V25=J17,"OK","ERROR"))</f>
        <v/>
      </c>
      <c r="O17" s="653"/>
    </row>
    <row r="18" spans="1:16" ht="25.5" customHeight="1">
      <c r="A18" s="930" t="s">
        <v>364</v>
      </c>
      <c r="B18" s="356" t="s">
        <v>138</v>
      </c>
      <c r="C18" s="374"/>
      <c r="D18" s="275"/>
      <c r="E18" s="284"/>
      <c r="F18" s="108"/>
      <c r="G18" s="275"/>
      <c r="H18" s="795"/>
      <c r="I18" s="285">
        <f t="shared" si="1"/>
        <v>0</v>
      </c>
      <c r="J18" s="278">
        <f t="shared" si="1"/>
        <v>0</v>
      </c>
      <c r="K18" s="286">
        <f t="shared" si="1"/>
        <v>0</v>
      </c>
      <c r="L18" s="1082"/>
      <c r="M18" s="311" t="str">
        <f>IF($O1=0,"",IF('99'!U34=I18,"OK","ERROR"))</f>
        <v/>
      </c>
      <c r="N18" s="311" t="str">
        <f>IF($O1=0,"",IF('99'!V34=J18,"OK","ERROR"))</f>
        <v/>
      </c>
      <c r="O18" s="653"/>
    </row>
    <row r="19" spans="1:16" ht="15" customHeight="1" thickBot="1">
      <c r="A19" s="361" t="s">
        <v>365</v>
      </c>
      <c r="B19" s="364"/>
      <c r="C19" s="614">
        <f t="shared" ref="C19:H19" si="2">SUM(C13:C18)</f>
        <v>0</v>
      </c>
      <c r="D19" s="615">
        <f t="shared" si="2"/>
        <v>0</v>
      </c>
      <c r="E19" s="616">
        <f t="shared" si="2"/>
        <v>0</v>
      </c>
      <c r="F19" s="617">
        <f t="shared" si="2"/>
        <v>0</v>
      </c>
      <c r="G19" s="615">
        <f t="shared" si="2"/>
        <v>0</v>
      </c>
      <c r="H19" s="796">
        <f t="shared" si="2"/>
        <v>0</v>
      </c>
      <c r="I19" s="614">
        <f t="shared" si="1"/>
        <v>0</v>
      </c>
      <c r="J19" s="618">
        <f t="shared" si="1"/>
        <v>0</v>
      </c>
      <c r="K19" s="617">
        <f t="shared" si="1"/>
        <v>0</v>
      </c>
      <c r="L19" s="1082"/>
      <c r="M19" s="312" t="str">
        <f>IF($O1=0,"",IF('99'!U26+'99'!U35=I19,"OK","ERROR"))</f>
        <v/>
      </c>
      <c r="N19" s="312" t="str">
        <f>IF($O1=0,"",IF('99'!V26+'99'!V35=J19,"OK","ERROR"))</f>
        <v/>
      </c>
      <c r="O19" s="653"/>
    </row>
    <row r="20" spans="1:16" ht="18" customHeight="1" thickTop="1">
      <c r="A20" s="352" t="s">
        <v>366</v>
      </c>
      <c r="B20" s="619"/>
      <c r="C20" s="676"/>
      <c r="D20" s="677"/>
      <c r="E20" s="678"/>
      <c r="F20" s="677"/>
      <c r="G20" s="677"/>
      <c r="H20" s="677"/>
      <c r="I20" s="676"/>
      <c r="J20" s="677"/>
      <c r="K20" s="679"/>
      <c r="L20" s="1082"/>
      <c r="M20" s="680"/>
      <c r="N20" s="681"/>
      <c r="O20" s="322"/>
      <c r="P20" s="114"/>
    </row>
    <row r="21" spans="1:16" ht="18" customHeight="1">
      <c r="A21" s="353" t="s">
        <v>356</v>
      </c>
      <c r="B21" s="354"/>
      <c r="C21" s="682"/>
      <c r="D21" s="683"/>
      <c r="E21" s="684"/>
      <c r="F21" s="683"/>
      <c r="G21" s="683"/>
      <c r="H21" s="683"/>
      <c r="I21" s="682"/>
      <c r="J21" s="683"/>
      <c r="K21" s="50"/>
      <c r="L21" s="1082"/>
      <c r="M21" s="685"/>
      <c r="N21" s="686"/>
      <c r="O21" s="653"/>
    </row>
    <row r="22" spans="1:16" ht="17.100000000000001" customHeight="1">
      <c r="A22" s="355" t="s">
        <v>357</v>
      </c>
      <c r="B22" s="356" t="s">
        <v>367</v>
      </c>
      <c r="C22" s="372"/>
      <c r="D22" s="452"/>
      <c r="E22" s="282"/>
      <c r="F22" s="40"/>
      <c r="G22" s="452"/>
      <c r="H22" s="794"/>
      <c r="I22" s="285">
        <f t="shared" ref="I22:K28" si="3">C22+F22</f>
        <v>0</v>
      </c>
      <c r="J22" s="296">
        <f t="shared" si="3"/>
        <v>0</v>
      </c>
      <c r="K22" s="286">
        <f t="shared" si="3"/>
        <v>0</v>
      </c>
      <c r="L22" s="1082"/>
      <c r="M22" s="314" t="str">
        <f>IF($O1=0,"",IF(SUM('99'!U48:U54)=I22,"OK","ERROR"))</f>
        <v/>
      </c>
      <c r="N22" s="314" t="str">
        <f>IF($O1=0,"",IF(SUM('99'!V48:V54)=J22,"OK","ERROR"))</f>
        <v/>
      </c>
      <c r="O22" s="322"/>
      <c r="P22" s="114"/>
    </row>
    <row r="23" spans="1:16" ht="15" hidden="1" customHeight="1">
      <c r="A23" s="355" t="s">
        <v>359</v>
      </c>
      <c r="B23" s="356" t="s">
        <v>368</v>
      </c>
      <c r="C23" s="373"/>
      <c r="D23" s="451"/>
      <c r="E23" s="283"/>
      <c r="F23" s="45"/>
      <c r="G23" s="451"/>
      <c r="H23" s="793"/>
      <c r="I23" s="287">
        <f t="shared" si="3"/>
        <v>0</v>
      </c>
      <c r="J23" s="277">
        <f t="shared" si="3"/>
        <v>0</v>
      </c>
      <c r="K23" s="280">
        <f t="shared" si="3"/>
        <v>0</v>
      </c>
      <c r="L23" s="1082"/>
      <c r="M23" s="311" t="str">
        <f>IF($O1=0,"",IF('99'!U58+'99'!U59=I23,"OK","ERROR"))</f>
        <v/>
      </c>
      <c r="N23" s="311" t="str">
        <f>IF($O1=0,"",IF('99'!V58+'99'!V59=J23,"OK","ERROR"))</f>
        <v/>
      </c>
      <c r="O23" s="653"/>
    </row>
    <row r="24" spans="1:16" ht="29.25" customHeight="1">
      <c r="A24" s="930" t="s">
        <v>361</v>
      </c>
      <c r="B24" s="356" t="s">
        <v>369</v>
      </c>
      <c r="C24" s="373"/>
      <c r="D24" s="451"/>
      <c r="E24" s="283"/>
      <c r="F24" s="45"/>
      <c r="G24" s="451"/>
      <c r="H24" s="793"/>
      <c r="I24" s="287">
        <f t="shared" si="3"/>
        <v>0</v>
      </c>
      <c r="J24" s="277">
        <f t="shared" si="3"/>
        <v>0</v>
      </c>
      <c r="K24" s="280">
        <f t="shared" si="3"/>
        <v>0</v>
      </c>
      <c r="L24" s="1082"/>
      <c r="M24" s="311" t="str">
        <f>IF($O1=0,"",IF('99'!U62+'99'!U63=I24,"OK","ERROR"))</f>
        <v/>
      </c>
      <c r="N24" s="311" t="str">
        <f>IF($O1=0,"",IF('99'!V62+'99'!V63=J24,"OK","ERROR"))</f>
        <v/>
      </c>
      <c r="O24" s="653"/>
    </row>
    <row r="25" spans="1:16" ht="15" customHeight="1">
      <c r="A25" s="357" t="s">
        <v>363</v>
      </c>
      <c r="B25" s="135"/>
      <c r="C25" s="519"/>
      <c r="D25" s="295"/>
      <c r="E25" s="663" t="s">
        <v>61</v>
      </c>
      <c r="F25" s="295"/>
      <c r="G25" s="295"/>
      <c r="H25" s="295"/>
      <c r="I25" s="519"/>
      <c r="J25" s="295"/>
      <c r="K25" s="286"/>
      <c r="L25" s="1082"/>
      <c r="M25" s="513"/>
      <c r="N25" s="514"/>
      <c r="O25" s="653"/>
    </row>
    <row r="26" spans="1:16" ht="18">
      <c r="A26" s="360" t="s">
        <v>357</v>
      </c>
      <c r="B26" s="359">
        <v>21</v>
      </c>
      <c r="C26" s="372"/>
      <c r="D26" s="452"/>
      <c r="E26" s="282"/>
      <c r="F26" s="40"/>
      <c r="G26" s="452"/>
      <c r="H26" s="794"/>
      <c r="I26" s="287">
        <f t="shared" ref="I26:J28" si="4">C26+F26</f>
        <v>0</v>
      </c>
      <c r="J26" s="296">
        <f t="shared" si="4"/>
        <v>0</v>
      </c>
      <c r="K26" s="280">
        <f t="shared" si="3"/>
        <v>0</v>
      </c>
      <c r="L26" s="661"/>
      <c r="M26" s="311" t="str">
        <f>IF($O1=0,"",IF('99'!U55=I26,"OK","ERROR"))</f>
        <v/>
      </c>
      <c r="N26" s="314" t="str">
        <f>IF($O1=0,"",IF('99'!V55=J26,"OK","ERROR"))</f>
        <v/>
      </c>
      <c r="O26" s="653"/>
    </row>
    <row r="27" spans="1:16" ht="23.45">
      <c r="A27" s="930" t="s">
        <v>364</v>
      </c>
      <c r="B27" s="624">
        <v>27</v>
      </c>
      <c r="C27" s="373"/>
      <c r="D27" s="451"/>
      <c r="E27" s="283"/>
      <c r="F27" s="45"/>
      <c r="G27" s="451"/>
      <c r="H27" s="793"/>
      <c r="I27" s="287">
        <f t="shared" si="4"/>
        <v>0</v>
      </c>
      <c r="J27" s="277">
        <f t="shared" si="4"/>
        <v>0</v>
      </c>
      <c r="K27" s="280">
        <f t="shared" si="3"/>
        <v>0</v>
      </c>
      <c r="L27" s="661"/>
      <c r="M27" s="311" t="str">
        <f>IF($O1=0,"",IF('99'!U64=I27,"OK","ERROR"))</f>
        <v/>
      </c>
      <c r="N27" s="311" t="str">
        <f>IF($O1=0,"",IF('99'!V64=J27,"OK","ERROR"))</f>
        <v/>
      </c>
      <c r="O27" s="653"/>
    </row>
    <row r="28" spans="1:16" ht="18.75" customHeight="1" thickBot="1">
      <c r="A28" s="361" t="s">
        <v>370</v>
      </c>
      <c r="B28" s="626"/>
      <c r="C28" s="627">
        <f t="shared" ref="C28:H28" si="5">SUM(C22:C27)</f>
        <v>0</v>
      </c>
      <c r="D28" s="628">
        <f t="shared" si="5"/>
        <v>0</v>
      </c>
      <c r="E28" s="629">
        <f t="shared" si="5"/>
        <v>0</v>
      </c>
      <c r="F28" s="552">
        <f t="shared" si="5"/>
        <v>0</v>
      </c>
      <c r="G28" s="628">
        <f t="shared" si="5"/>
        <v>0</v>
      </c>
      <c r="H28" s="797">
        <f t="shared" si="5"/>
        <v>0</v>
      </c>
      <c r="I28" s="627">
        <f t="shared" si="4"/>
        <v>0</v>
      </c>
      <c r="J28" s="553">
        <f t="shared" si="4"/>
        <v>0</v>
      </c>
      <c r="K28" s="800">
        <f t="shared" si="3"/>
        <v>0</v>
      </c>
      <c r="L28" s="661"/>
      <c r="M28" s="630" t="str">
        <f>IF($O1=0,"",IF('99'!U56+'99'!U65=I28,"OK","ERROR"))</f>
        <v/>
      </c>
      <c r="N28" s="630" t="str">
        <f>IF($O1=0,"",IF('99'!V56+'99'!V65=J28,"OK","ERROR"))</f>
        <v/>
      </c>
      <c r="O28" s="653"/>
    </row>
    <row r="29" spans="1:16" ht="21" thickBot="1">
      <c r="A29" s="365" t="s">
        <v>371</v>
      </c>
      <c r="B29" s="364"/>
      <c r="C29" s="620">
        <f>C19+C28</f>
        <v>0</v>
      </c>
      <c r="D29" s="621">
        <f>D19+D28</f>
        <v>0</v>
      </c>
      <c r="E29" s="622">
        <f>E19+E28</f>
        <v>0</v>
      </c>
      <c r="F29" s="48">
        <f>F19+F28</f>
        <v>0</v>
      </c>
      <c r="G29" s="621">
        <f>G19+G28</f>
        <v>0</v>
      </c>
      <c r="H29" s="798">
        <f>H28+H19</f>
        <v>0</v>
      </c>
      <c r="I29" s="620">
        <f>C29+F29</f>
        <v>0</v>
      </c>
      <c r="J29" s="51">
        <f>D29+G29</f>
        <v>0</v>
      </c>
      <c r="K29" s="48">
        <f>E29+H29</f>
        <v>0</v>
      </c>
      <c r="L29" s="661"/>
      <c r="M29" s="313" t="str">
        <f>IF($O1=0,"",IF('99'!U66=I29,"OK","ERROR"))</f>
        <v/>
      </c>
      <c r="N29" s="313" t="str">
        <f>IF($O1=0,"",IF('99'!V66=J29,"OK","ERROR"))</f>
        <v/>
      </c>
      <c r="O29" s="653"/>
    </row>
    <row r="30" spans="1:16" ht="10.15">
      <c r="A30" s="687"/>
      <c r="B30" s="625"/>
      <c r="C30" s="688"/>
      <c r="D30" s="689"/>
      <c r="E30" s="690"/>
      <c r="F30" s="689"/>
      <c r="G30" s="689"/>
      <c r="H30" s="689"/>
      <c r="I30" s="688"/>
      <c r="J30" s="689"/>
      <c r="K30" s="689"/>
      <c r="L30" s="664"/>
      <c r="M30" s="658"/>
      <c r="N30" s="661"/>
      <c r="O30" s="322"/>
      <c r="P30" s="114"/>
    </row>
    <row r="31" spans="1:16" ht="12" customHeight="1">
      <c r="A31" s="668" t="s">
        <v>375</v>
      </c>
      <c r="B31" s="659"/>
      <c r="C31" s="664"/>
      <c r="D31" s="664"/>
      <c r="E31" s="664"/>
      <c r="F31" s="664"/>
      <c r="G31" s="664"/>
      <c r="H31" s="664"/>
      <c r="I31" s="664"/>
      <c r="J31" s="664"/>
      <c r="K31" s="661"/>
      <c r="L31" s="664"/>
      <c r="M31" s="691"/>
      <c r="N31" s="664"/>
      <c r="O31" s="322"/>
      <c r="P31" s="114"/>
    </row>
    <row r="32" spans="1:16" ht="12" customHeight="1">
      <c r="A32" s="82"/>
      <c r="B32" s="127"/>
      <c r="C32" s="114"/>
      <c r="D32" s="114"/>
      <c r="E32" s="114"/>
      <c r="F32" s="114"/>
      <c r="G32" s="114"/>
      <c r="H32" s="114"/>
      <c r="I32" s="114"/>
      <c r="J32" s="114"/>
      <c r="K32" s="85"/>
      <c r="L32" s="114"/>
      <c r="M32" s="272"/>
      <c r="N32" s="114"/>
      <c r="O32" s="318"/>
      <c r="P32" s="114"/>
    </row>
    <row r="33" spans="1:16" ht="12" customHeight="1">
      <c r="A33" s="82"/>
      <c r="B33" s="127"/>
      <c r="C33" s="114"/>
      <c r="D33" s="114"/>
      <c r="E33" s="114"/>
      <c r="F33" s="114"/>
      <c r="G33" s="114"/>
      <c r="H33" s="114"/>
      <c r="I33" s="114"/>
      <c r="J33" s="114"/>
      <c r="K33" s="85"/>
      <c r="L33" s="114"/>
      <c r="M33" s="272"/>
      <c r="N33" s="114"/>
      <c r="O33" s="318"/>
      <c r="P33" s="114"/>
    </row>
    <row r="34" spans="1:16" ht="12" customHeight="1">
      <c r="A34" s="82"/>
      <c r="B34" s="127"/>
      <c r="C34" s="114"/>
      <c r="D34" s="114"/>
      <c r="E34" s="114"/>
      <c r="F34" s="114"/>
      <c r="G34" s="114"/>
      <c r="H34" s="114"/>
      <c r="I34" s="114"/>
      <c r="J34" s="114"/>
      <c r="K34" s="85"/>
      <c r="L34" s="114"/>
      <c r="M34" s="272"/>
      <c r="N34" s="114"/>
      <c r="O34" s="318"/>
      <c r="P34" s="114"/>
    </row>
    <row r="35" spans="1:16" ht="12" customHeight="1">
      <c r="A35" s="82"/>
      <c r="B35" s="127"/>
      <c r="C35" s="114"/>
      <c r="D35" s="114"/>
      <c r="E35" s="114"/>
      <c r="F35" s="114"/>
      <c r="G35" s="114"/>
      <c r="H35" s="114"/>
      <c r="I35" s="114"/>
      <c r="J35" s="114"/>
      <c r="K35" s="85"/>
      <c r="L35" s="114"/>
      <c r="M35" s="272"/>
      <c r="N35" s="114"/>
      <c r="O35" s="318"/>
      <c r="P35" s="114"/>
    </row>
    <row r="36" spans="1:16" ht="12" customHeight="1">
      <c r="A36" s="82"/>
      <c r="B36" s="127"/>
      <c r="C36" s="114"/>
      <c r="D36" s="114"/>
      <c r="E36" s="114"/>
      <c r="F36" s="114"/>
      <c r="G36" s="114"/>
      <c r="H36" s="114"/>
      <c r="I36" s="114"/>
      <c r="J36" s="114"/>
      <c r="K36" s="85"/>
      <c r="L36" s="114"/>
      <c r="M36" s="272"/>
      <c r="N36" s="114"/>
      <c r="O36" s="318"/>
      <c r="P36" s="114"/>
    </row>
    <row r="37" spans="1:16" ht="12" customHeight="1">
      <c r="A37" s="82"/>
      <c r="B37" s="127"/>
      <c r="C37" s="114"/>
      <c r="D37" s="114"/>
      <c r="E37" s="114"/>
      <c r="F37" s="114"/>
      <c r="G37" s="114"/>
      <c r="H37" s="114"/>
      <c r="I37" s="114"/>
      <c r="J37" s="114"/>
      <c r="K37" s="85"/>
      <c r="L37" s="114"/>
      <c r="M37" s="272"/>
      <c r="N37" s="114"/>
      <c r="O37" s="318"/>
      <c r="P37" s="114"/>
    </row>
    <row r="38" spans="1:16" ht="12" customHeight="1">
      <c r="A38" s="82"/>
      <c r="B38" s="127"/>
      <c r="C38" s="114"/>
      <c r="D38" s="114"/>
      <c r="E38" s="114"/>
      <c r="F38" s="114"/>
      <c r="G38" s="114"/>
      <c r="H38" s="114"/>
      <c r="I38" s="114"/>
      <c r="J38" s="114"/>
      <c r="K38" s="85"/>
      <c r="L38" s="114"/>
      <c r="M38" s="272"/>
      <c r="N38" s="114"/>
      <c r="O38" s="318"/>
      <c r="P38" s="114"/>
    </row>
    <row r="39" spans="1:16" ht="12" customHeight="1">
      <c r="A39" s="82"/>
      <c r="B39" s="127"/>
      <c r="C39" s="114"/>
      <c r="D39" s="114"/>
      <c r="E39" s="114"/>
      <c r="F39" s="114"/>
      <c r="G39" s="114"/>
      <c r="H39" s="114"/>
      <c r="I39" s="114"/>
      <c r="J39" s="114"/>
      <c r="K39" s="85"/>
      <c r="L39" s="114"/>
      <c r="M39" s="272"/>
      <c r="N39" s="114"/>
      <c r="O39" s="318"/>
      <c r="P39" s="114"/>
    </row>
    <row r="40" spans="1:16" ht="12" customHeight="1">
      <c r="A40" s="82"/>
      <c r="B40" s="127"/>
      <c r="C40" s="114"/>
      <c r="D40" s="114"/>
      <c r="E40" s="114"/>
      <c r="F40" s="114"/>
      <c r="G40" s="114"/>
      <c r="H40" s="114"/>
      <c r="I40" s="114"/>
      <c r="J40" s="114"/>
      <c r="K40" s="85"/>
      <c r="L40" s="114"/>
      <c r="M40" s="272"/>
      <c r="N40" s="114"/>
      <c r="O40" s="318"/>
      <c r="P40" s="114"/>
    </row>
    <row r="41" spans="1:16" ht="12" customHeight="1">
      <c r="A41" s="82"/>
      <c r="B41" s="127"/>
      <c r="C41" s="114"/>
      <c r="D41" s="114"/>
      <c r="E41" s="114"/>
      <c r="F41" s="114"/>
      <c r="G41" s="114"/>
      <c r="H41" s="114"/>
      <c r="I41" s="114"/>
      <c r="J41" s="114"/>
      <c r="K41" s="85"/>
      <c r="L41" s="114"/>
      <c r="M41" s="272"/>
      <c r="N41" s="114"/>
      <c r="O41" s="318"/>
      <c r="P41" s="114"/>
    </row>
    <row r="42" spans="1:16" ht="12" customHeight="1">
      <c r="A42" s="82"/>
      <c r="B42" s="84"/>
      <c r="C42" s="85"/>
      <c r="D42" s="85"/>
      <c r="E42" s="85"/>
      <c r="F42" s="85"/>
      <c r="G42" s="85"/>
      <c r="H42" s="85"/>
      <c r="I42" s="85"/>
      <c r="J42" s="85"/>
      <c r="K42" s="85"/>
      <c r="M42" s="84"/>
      <c r="N42" s="85"/>
    </row>
  </sheetData>
  <mergeCells count="9">
    <mergeCell ref="C8:D8"/>
    <mergeCell ref="L13:L25"/>
    <mergeCell ref="M1:N3"/>
    <mergeCell ref="F6:H6"/>
    <mergeCell ref="C5:E5"/>
    <mergeCell ref="F5:H5"/>
    <mergeCell ref="C6:E6"/>
    <mergeCell ref="A1:D1"/>
    <mergeCell ref="E1:J1"/>
  </mergeCells>
  <phoneticPr fontId="54" type="noConversion"/>
  <pageMargins left="1.05" right="0.95" top="0.52" bottom="0.68" header="0.5" footer="0.5"/>
  <pageSetup scale="84" orientation="landscape" horizontalDpi="300" verticalDpi="300" r:id="rId1"/>
  <headerFooter alignWithMargins="0">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dimension ref="A1:AV50"/>
  <sheetViews>
    <sheetView showGridLines="0" showZeros="0" defaultGridColor="0" colorId="8" zoomScale="110" zoomScaleNormal="110" workbookViewId="0"/>
  </sheetViews>
  <sheetFormatPr defaultColWidth="0" defaultRowHeight="0" customHeight="1" zeroHeight="1"/>
  <cols>
    <col min="1" max="1" width="36.125" style="85" customWidth="1"/>
    <col min="2" max="2" width="4.5" style="134" customWidth="1"/>
    <col min="3" max="4" width="5.625" style="274" hidden="1" customWidth="1"/>
    <col min="5" max="5" width="6.5" style="274" hidden="1" customWidth="1"/>
    <col min="6" max="7" width="5.625" style="274" hidden="1" customWidth="1"/>
    <col min="8" max="8" width="6.5" style="274" hidden="1" customWidth="1"/>
    <col min="9" max="10" width="5.625" style="274" customWidth="1"/>
    <col min="11" max="11" width="6.5" style="274" customWidth="1"/>
    <col min="12" max="12" width="6.625" style="85" customWidth="1"/>
    <col min="13" max="13" width="9" style="134" hidden="1" customWidth="1"/>
    <col min="14" max="14" width="2.25" style="274" hidden="1" customWidth="1"/>
    <col min="15" max="15" width="1.875" style="319" customWidth="1"/>
    <col min="16" max="16" width="6.625" style="85" hidden="1" customWidth="1"/>
    <col min="17" max="17" width="6.875" style="114" hidden="1" customWidth="1"/>
    <col min="18" max="18" width="6.625" style="114" hidden="1" customWidth="1"/>
    <col min="19" max="48" width="6.625" style="85" hidden="1" customWidth="1"/>
    <col min="49" max="16384" width="0" style="85" hidden="1"/>
  </cols>
  <sheetData>
    <row r="1" spans="1:18" s="74" customFormat="1" ht="27.6">
      <c r="A1" s="811" t="str">
        <f>'99'!A90&amp;" CREDIT HOURS"</f>
        <v>FALL 2021 CREDIT HOURS</v>
      </c>
      <c r="B1" s="811"/>
      <c r="C1" s="811"/>
      <c r="D1" s="811"/>
      <c r="E1" s="644"/>
      <c r="F1" s="644"/>
      <c r="G1" s="644"/>
      <c r="H1" s="644"/>
      <c r="I1" s="645"/>
      <c r="J1" s="644"/>
      <c r="K1" s="546" t="str">
        <f>+'99'!A2</f>
        <v>2122</v>
      </c>
      <c r="L1" s="644" t="s">
        <v>61</v>
      </c>
      <c r="M1" s="1068"/>
      <c r="N1" s="1069"/>
      <c r="O1" s="322">
        <f>IF(COUNT(K13:K18,K22:K27)&gt;0,1,0)</f>
        <v>0</v>
      </c>
      <c r="P1" s="72"/>
      <c r="Q1" s="72"/>
      <c r="R1" s="72"/>
    </row>
    <row r="2" spans="1:18" s="74" customFormat="1" ht="33" customHeight="1">
      <c r="A2" s="692" t="s">
        <v>376</v>
      </c>
      <c r="B2" s="643"/>
      <c r="C2" s="644"/>
      <c r="D2" s="644"/>
      <c r="E2" s="644"/>
      <c r="F2" s="644"/>
      <c r="G2" s="644"/>
      <c r="H2" s="644"/>
      <c r="I2" s="644"/>
      <c r="J2" s="644"/>
      <c r="K2" s="565" t="s">
        <v>342</v>
      </c>
      <c r="L2" s="644" t="s">
        <v>61</v>
      </c>
      <c r="M2" s="1069"/>
      <c r="N2" s="1069"/>
      <c r="O2" s="322"/>
      <c r="P2" s="72"/>
      <c r="Q2" s="72"/>
      <c r="R2" s="72"/>
    </row>
    <row r="3" spans="1:18" ht="13.5" customHeight="1">
      <c r="A3" s="454" t="str">
        <f>'99'!A3</f>
        <v>Western Connecticut State University</v>
      </c>
      <c r="B3" s="238"/>
      <c r="C3"/>
      <c r="D3"/>
      <c r="E3"/>
      <c r="F3"/>
      <c r="G3"/>
      <c r="H3"/>
      <c r="I3" s="644"/>
      <c r="J3" s="644"/>
      <c r="K3" s="644"/>
      <c r="L3" s="644"/>
      <c r="M3" s="1069"/>
      <c r="N3" s="1069"/>
      <c r="O3" s="322"/>
      <c r="P3" s="72"/>
      <c r="Q3" s="72"/>
      <c r="R3" s="72"/>
    </row>
    <row r="4" spans="1:18" ht="12" customHeight="1">
      <c r="A4" s="455">
        <f>'99'!A4</f>
        <v>130776</v>
      </c>
      <c r="B4" s="658"/>
      <c r="C4"/>
      <c r="D4"/>
      <c r="E4"/>
      <c r="F4"/>
      <c r="G4"/>
      <c r="H4"/>
      <c r="I4"/>
      <c r="J4"/>
      <c r="K4"/>
      <c r="L4" s="652">
        <v>0</v>
      </c>
      <c r="M4"/>
      <c r="N4"/>
      <c r="O4" s="653" t="s">
        <v>61</v>
      </c>
      <c r="P4" s="270"/>
      <c r="Q4" s="271"/>
      <c r="R4" s="271"/>
    </row>
    <row r="5" spans="1:18" ht="13.5" customHeight="1">
      <c r="A5" s="654"/>
      <c r="B5" s="670"/>
      <c r="C5"/>
      <c r="D5"/>
      <c r="E5"/>
      <c r="F5"/>
      <c r="G5"/>
      <c r="H5"/>
      <c r="I5" s="613" t="s">
        <v>61</v>
      </c>
      <c r="J5" s="613"/>
      <c r="K5" s="613"/>
      <c r="L5" s="652">
        <v>0</v>
      </c>
      <c r="M5" s="325" t="s">
        <v>224</v>
      </c>
      <c r="N5" s="326"/>
      <c r="O5" s="653" t="s">
        <v>61</v>
      </c>
      <c r="P5" s="270"/>
      <c r="Q5" s="271"/>
      <c r="R5" s="271"/>
    </row>
    <row r="6" spans="1:18" ht="13.5" customHeight="1">
      <c r="A6" s="315" t="str">
        <f>+'99'!N3</f>
        <v>Jerry Wilcox</v>
      </c>
      <c r="B6" s="693"/>
      <c r="C6"/>
      <c r="D6"/>
      <c r="E6"/>
      <c r="F6"/>
      <c r="G6"/>
      <c r="H6"/>
      <c r="I6" s="1090" t="s">
        <v>346</v>
      </c>
      <c r="J6" s="1091"/>
      <c r="K6" s="327"/>
      <c r="L6" s="1088" t="s">
        <v>377</v>
      </c>
      <c r="M6" s="344" t="s">
        <v>346</v>
      </c>
      <c r="N6" s="329"/>
      <c r="O6" s="653" t="s">
        <v>61</v>
      </c>
      <c r="P6" s="270"/>
      <c r="Q6" s="271"/>
      <c r="R6" s="271"/>
    </row>
    <row r="7" spans="1:18" ht="12" customHeight="1">
      <c r="A7" s="316" t="str">
        <f>+'99'!N4</f>
        <v>Director, Institutional Research and Assessment</v>
      </c>
      <c r="B7" s="693"/>
      <c r="C7"/>
      <c r="D7"/>
      <c r="E7"/>
      <c r="F7"/>
      <c r="G7"/>
      <c r="H7"/>
      <c r="I7" s="1092" t="s">
        <v>83</v>
      </c>
      <c r="J7" s="1093"/>
      <c r="K7" s="330"/>
      <c r="L7" s="1088"/>
      <c r="M7" s="344" t="s">
        <v>83</v>
      </c>
      <c r="N7" s="329"/>
      <c r="O7" s="653" t="s">
        <v>61</v>
      </c>
      <c r="P7" s="270"/>
      <c r="Q7" s="271"/>
      <c r="R7" s="271"/>
    </row>
    <row r="8" spans="1:18" ht="12" customHeight="1" thickBot="1">
      <c r="A8" s="317" t="str">
        <f>+'99'!N5</f>
        <v>203-837-8242</v>
      </c>
      <c r="B8" s="694"/>
      <c r="C8"/>
      <c r="D8"/>
      <c r="E8"/>
      <c r="F8"/>
      <c r="G8"/>
      <c r="H8"/>
      <c r="I8" s="1089" t="s">
        <v>350</v>
      </c>
      <c r="J8" s="1065"/>
      <c r="K8" s="330" t="s">
        <v>83</v>
      </c>
      <c r="L8" s="1088"/>
      <c r="M8" s="345" t="s">
        <v>350</v>
      </c>
      <c r="N8" s="337"/>
      <c r="O8" s="653" t="s">
        <v>61</v>
      </c>
      <c r="P8" s="270"/>
      <c r="Q8" s="271"/>
      <c r="R8" s="271"/>
    </row>
    <row r="9" spans="1:18" s="84" customFormat="1" ht="12" customHeight="1">
      <c r="A9" s="348"/>
      <c r="B9" s="375" t="s">
        <v>80</v>
      </c>
      <c r="C9"/>
      <c r="D9"/>
      <c r="E9"/>
      <c r="F9"/>
      <c r="G9"/>
      <c r="H9"/>
      <c r="I9" s="103"/>
      <c r="J9" s="102"/>
      <c r="K9" s="330" t="s">
        <v>347</v>
      </c>
      <c r="L9" s="1088"/>
      <c r="M9" s="346" t="s">
        <v>81</v>
      </c>
      <c r="N9" s="346" t="s">
        <v>82</v>
      </c>
      <c r="O9" s="653"/>
      <c r="Q9" s="272"/>
      <c r="R9" s="272"/>
    </row>
    <row r="10" spans="1:18" ht="12" customHeight="1">
      <c r="A10" s="350"/>
      <c r="B10" s="105" t="s">
        <v>354</v>
      </c>
      <c r="C10"/>
      <c r="D10"/>
      <c r="E10"/>
      <c r="F10"/>
      <c r="G10"/>
      <c r="H10"/>
      <c r="I10" s="103" t="s">
        <v>352</v>
      </c>
      <c r="J10" s="102" t="s">
        <v>353</v>
      </c>
      <c r="K10" s="330" t="s">
        <v>348</v>
      </c>
      <c r="L10" s="1088"/>
      <c r="M10" s="347" t="s">
        <v>92</v>
      </c>
      <c r="N10" s="347" t="s">
        <v>93</v>
      </c>
      <c r="O10" s="660"/>
      <c r="P10" s="127"/>
      <c r="Q10" s="129"/>
      <c r="R10" s="129"/>
    </row>
    <row r="11" spans="1:18" ht="18" customHeight="1">
      <c r="A11" s="352" t="s">
        <v>355</v>
      </c>
      <c r="B11" s="376"/>
      <c r="C11"/>
      <c r="D11"/>
      <c r="E11"/>
      <c r="F11"/>
      <c r="G11"/>
      <c r="H11"/>
      <c r="I11" s="53"/>
      <c r="J11" s="53"/>
      <c r="K11" s="279">
        <f>E11+H11</f>
        <v>0</v>
      </c>
      <c r="L11" s="1088"/>
      <c r="M11" s="348"/>
      <c r="N11" s="673"/>
      <c r="O11" s="653"/>
    </row>
    <row r="12" spans="1:18" s="275" customFormat="1" ht="15.95" customHeight="1">
      <c r="A12" s="353" t="s">
        <v>356</v>
      </c>
      <c r="B12" s="334"/>
      <c r="C12"/>
      <c r="D12"/>
      <c r="E12"/>
      <c r="F12"/>
      <c r="G12"/>
      <c r="H12"/>
      <c r="I12" s="54"/>
      <c r="J12" s="54"/>
      <c r="K12" s="280"/>
      <c r="L12" s="1088"/>
      <c r="M12" s="354"/>
      <c r="N12" s="675"/>
      <c r="O12" s="662"/>
      <c r="Q12" s="276"/>
      <c r="R12" s="276"/>
    </row>
    <row r="13" spans="1:18" ht="15" customHeight="1">
      <c r="A13" s="355" t="s">
        <v>357</v>
      </c>
      <c r="B13" s="109" t="s">
        <v>358</v>
      </c>
      <c r="C13"/>
      <c r="D13"/>
      <c r="E13"/>
      <c r="F13"/>
      <c r="G13"/>
      <c r="H13"/>
      <c r="I13" s="296">
        <f>SUM('99'!U18:U24)</f>
        <v>1651</v>
      </c>
      <c r="J13" s="296">
        <f>SUM('99'!V18:V24)</f>
        <v>1789</v>
      </c>
      <c r="K13" s="45"/>
      <c r="L13" s="1088"/>
      <c r="M13" s="382" t="str">
        <f>IF(SUM('99'!U18:U24)=I13,"OK","ERROR")</f>
        <v>OK</v>
      </c>
      <c r="N13" s="314" t="str">
        <f>IF(SUM('99'!V18:V24)=J13,"OK","ERROR")</f>
        <v>OK</v>
      </c>
      <c r="O13" s="653"/>
    </row>
    <row r="14" spans="1:18" ht="15" hidden="1" customHeight="1">
      <c r="A14" s="355" t="s">
        <v>359</v>
      </c>
      <c r="B14" s="109" t="s">
        <v>360</v>
      </c>
      <c r="C14"/>
      <c r="D14"/>
      <c r="E14"/>
      <c r="F14"/>
      <c r="G14"/>
      <c r="H14"/>
      <c r="I14" s="296">
        <f>'99'!U28+'99'!U29</f>
        <v>0</v>
      </c>
      <c r="J14" s="296">
        <f>'99'!V28+'99'!V29</f>
        <v>0</v>
      </c>
      <c r="K14" s="45"/>
      <c r="L14" s="1088"/>
      <c r="M14" s="383" t="str">
        <f>IF('99'!U28+'99'!U29=I14,"OK","ERROR")</f>
        <v>OK</v>
      </c>
      <c r="N14" s="311" t="str">
        <f>IF('99'!V28+'99'!V29=J14,"OK","ERROR")</f>
        <v>OK</v>
      </c>
      <c r="O14" s="653"/>
    </row>
    <row r="15" spans="1:18" ht="30.75" customHeight="1">
      <c r="A15" s="930" t="s">
        <v>361</v>
      </c>
      <c r="B15" s="109" t="s">
        <v>362</v>
      </c>
      <c r="C15"/>
      <c r="D15"/>
      <c r="E15"/>
      <c r="F15"/>
      <c r="G15"/>
      <c r="H15"/>
      <c r="I15" s="296">
        <f>'99'!U32+'99'!U33</f>
        <v>23</v>
      </c>
      <c r="J15" s="296">
        <f>'99'!V32+'99'!V33</f>
        <v>58</v>
      </c>
      <c r="K15" s="45"/>
      <c r="L15" s="1088"/>
      <c r="M15" s="383" t="str">
        <f>IF('99'!U32+'99'!U33=I15,"OK","ERROR")</f>
        <v>OK</v>
      </c>
      <c r="N15" s="311" t="str">
        <f>IF('99'!V32+'99'!V33=J15,"OK","ERROR")</f>
        <v>OK</v>
      </c>
      <c r="O15" s="653"/>
    </row>
    <row r="16" spans="1:18" ht="17.100000000000001" customHeight="1">
      <c r="A16" s="929" t="s">
        <v>363</v>
      </c>
      <c r="B16" s="377"/>
      <c r="C16"/>
      <c r="D16"/>
      <c r="E16"/>
      <c r="F16"/>
      <c r="G16"/>
      <c r="H16"/>
      <c r="I16" s="53"/>
      <c r="J16" s="53"/>
      <c r="K16" s="279"/>
      <c r="L16" s="1088"/>
      <c r="M16" s="695"/>
      <c r="N16" s="514"/>
      <c r="O16" s="653"/>
    </row>
    <row r="17" spans="1:16" ht="15" customHeight="1">
      <c r="A17" s="360" t="s">
        <v>357</v>
      </c>
      <c r="B17" s="109" t="s">
        <v>124</v>
      </c>
      <c r="C17"/>
      <c r="D17"/>
      <c r="E17"/>
      <c r="F17"/>
      <c r="G17"/>
      <c r="H17"/>
      <c r="I17" s="296">
        <f>'99'!U25</f>
        <v>0</v>
      </c>
      <c r="J17" s="296">
        <f>'99'!V25</f>
        <v>0</v>
      </c>
      <c r="K17" s="40"/>
      <c r="L17" s="1088"/>
      <c r="M17" s="382" t="str">
        <f>IF('99'!U25=I17,"OK","ERROR")</f>
        <v>OK</v>
      </c>
      <c r="N17" s="314" t="str">
        <f>IF('99'!V25=J17,"OK","ERROR")</f>
        <v>OK</v>
      </c>
      <c r="O17" s="653"/>
    </row>
    <row r="18" spans="1:16" ht="31.5" customHeight="1">
      <c r="A18" s="930" t="s">
        <v>364</v>
      </c>
      <c r="B18" s="109" t="s">
        <v>138</v>
      </c>
      <c r="C18"/>
      <c r="D18"/>
      <c r="E18"/>
      <c r="F18"/>
      <c r="G18"/>
      <c r="H18"/>
      <c r="I18" s="296">
        <f>'99'!U34</f>
        <v>0</v>
      </c>
      <c r="J18" s="296">
        <f>'99'!V34</f>
        <v>0</v>
      </c>
      <c r="K18" s="45"/>
      <c r="L18" s="1088"/>
      <c r="M18" s="382" t="str">
        <f>IF('99'!U34=I18,"OK","ERROR")</f>
        <v>OK</v>
      </c>
      <c r="N18" s="314" t="str">
        <f>IF('99'!V34=J18,"OK","ERROR")</f>
        <v>OK</v>
      </c>
      <c r="O18" s="653"/>
    </row>
    <row r="19" spans="1:16" ht="17.100000000000001" customHeight="1" thickBot="1">
      <c r="A19" s="361" t="s">
        <v>365</v>
      </c>
      <c r="B19" s="378"/>
      <c r="C19"/>
      <c r="D19"/>
      <c r="E19"/>
      <c r="F19"/>
      <c r="G19"/>
      <c r="H19"/>
      <c r="I19" s="299">
        <f>SUM(I13:I18)</f>
        <v>1674</v>
      </c>
      <c r="J19" s="299">
        <f>SUM(J13:J18)</f>
        <v>1847</v>
      </c>
      <c r="K19" s="299">
        <f>SUM(K13:K18)</f>
        <v>0</v>
      </c>
      <c r="L19" s="1088"/>
      <c r="M19" s="383" t="str">
        <f>IF('99'!U26+'99'!U35=I19,"OK","ERROR")</f>
        <v>OK</v>
      </c>
      <c r="N19" s="311" t="str">
        <f>IF('99'!V26+'99'!V35=J19,"OK","ERROR")</f>
        <v>OK</v>
      </c>
      <c r="O19" s="322"/>
      <c r="P19" s="114"/>
    </row>
    <row r="20" spans="1:16" ht="18" customHeight="1">
      <c r="A20" s="352" t="s">
        <v>366</v>
      </c>
      <c r="B20" s="379"/>
      <c r="C20"/>
      <c r="D20"/>
      <c r="E20"/>
      <c r="F20"/>
      <c r="G20"/>
      <c r="H20"/>
      <c r="I20" s="52"/>
      <c r="J20" s="52"/>
      <c r="K20" s="512"/>
      <c r="L20" s="1088"/>
      <c r="M20" s="696"/>
      <c r="N20" s="697"/>
      <c r="O20" s="653"/>
    </row>
    <row r="21" spans="1:16" ht="17.100000000000001" customHeight="1">
      <c r="A21" s="353" t="s">
        <v>356</v>
      </c>
      <c r="B21" s="334"/>
      <c r="C21"/>
      <c r="D21"/>
      <c r="E21"/>
      <c r="F21"/>
      <c r="G21"/>
      <c r="H21"/>
      <c r="I21" s="55"/>
      <c r="J21" s="55"/>
      <c r="K21" s="47"/>
      <c r="L21" s="1088"/>
      <c r="M21" s="698"/>
      <c r="N21" s="699"/>
      <c r="O21" s="322"/>
      <c r="P21" s="114"/>
    </row>
    <row r="22" spans="1:16" ht="15" customHeight="1">
      <c r="A22" s="355" t="s">
        <v>357</v>
      </c>
      <c r="B22" s="109" t="s">
        <v>367</v>
      </c>
      <c r="C22"/>
      <c r="D22"/>
      <c r="E22"/>
      <c r="F22"/>
      <c r="G22"/>
      <c r="H22"/>
      <c r="I22" s="296">
        <f>SUM('99'!U48:U54)</f>
        <v>267</v>
      </c>
      <c r="J22" s="296">
        <f>SUM('99'!V48:V54)</f>
        <v>321</v>
      </c>
      <c r="K22" s="309"/>
      <c r="L22" s="1088"/>
      <c r="M22" s="383" t="str">
        <f>IF(SUM('99'!U48:U54)=I22,"OK","ERROR")</f>
        <v>OK</v>
      </c>
      <c r="N22" s="311" t="str">
        <f>IF(SUM('99'!V48:V54)=J22,"OK","ERROR")</f>
        <v>OK</v>
      </c>
      <c r="O22" s="653"/>
    </row>
    <row r="23" spans="1:16" ht="15" hidden="1" customHeight="1">
      <c r="A23" s="355" t="s">
        <v>359</v>
      </c>
      <c r="B23" s="109" t="s">
        <v>368</v>
      </c>
      <c r="C23"/>
      <c r="D23"/>
      <c r="E23"/>
      <c r="F23"/>
      <c r="G23"/>
      <c r="H23"/>
      <c r="I23" s="277">
        <f>'99'!U58+'99'!U59</f>
        <v>0</v>
      </c>
      <c r="J23" s="277">
        <f>'99'!V58+'99'!V59</f>
        <v>0</v>
      </c>
      <c r="K23" s="384"/>
      <c r="L23" s="1088"/>
      <c r="M23" s="383" t="str">
        <f>IF('99'!U58+'99'!U59=I23,"OK","ERROR")</f>
        <v>OK</v>
      </c>
      <c r="N23" s="311" t="str">
        <f>IF('99'!V58+'99'!V59=J23,"OK","ERROR")</f>
        <v>OK</v>
      </c>
      <c r="O23" s="653"/>
    </row>
    <row r="24" spans="1:16" ht="28.5" customHeight="1">
      <c r="A24" s="930" t="s">
        <v>361</v>
      </c>
      <c r="B24" s="109" t="s">
        <v>369</v>
      </c>
      <c r="C24"/>
      <c r="D24"/>
      <c r="E24"/>
      <c r="F24"/>
      <c r="G24"/>
      <c r="H24"/>
      <c r="I24" s="277">
        <f>'99'!U62+'99'!U63</f>
        <v>113</v>
      </c>
      <c r="J24" s="277">
        <f>'99'!V62+'99'!V63</f>
        <v>389</v>
      </c>
      <c r="K24" s="384"/>
      <c r="L24" s="1088"/>
      <c r="M24" s="383" t="str">
        <f>IF('99'!U62+'99'!U63=I24,"OK","ERROR")</f>
        <v>OK</v>
      </c>
      <c r="N24" s="311" t="str">
        <f>IF('99'!V62+'99'!V63=J24,"OK","ERROR")</f>
        <v>OK</v>
      </c>
      <c r="O24" s="653"/>
    </row>
    <row r="25" spans="1:16" ht="17.100000000000001" customHeight="1">
      <c r="A25" s="357" t="s">
        <v>363</v>
      </c>
      <c r="B25" s="380"/>
      <c r="C25"/>
      <c r="D25"/>
      <c r="E25"/>
      <c r="F25"/>
      <c r="G25"/>
      <c r="H25"/>
      <c r="I25" s="111"/>
      <c r="J25" s="295"/>
      <c r="K25" s="286"/>
      <c r="L25" s="1088"/>
      <c r="M25" s="695"/>
      <c r="N25" s="513"/>
      <c r="O25" s="653"/>
    </row>
    <row r="26" spans="1:16" ht="15" customHeight="1">
      <c r="A26" s="360" t="s">
        <v>357</v>
      </c>
      <c r="B26" s="109" t="s">
        <v>148</v>
      </c>
      <c r="C26"/>
      <c r="D26"/>
      <c r="E26"/>
      <c r="F26"/>
      <c r="G26"/>
      <c r="H26"/>
      <c r="I26" s="277">
        <f>'99'!U55</f>
        <v>69</v>
      </c>
      <c r="J26" s="296">
        <f>'99'!V55</f>
        <v>75</v>
      </c>
      <c r="K26" s="309"/>
      <c r="L26" s="1088"/>
      <c r="M26" s="382" t="str">
        <f>IF('99'!U55=I26,"OK","ERROR")</f>
        <v>OK</v>
      </c>
      <c r="N26" s="314" t="str">
        <f>IF('99'!V55=J26,"OK","ERROR")</f>
        <v>OK</v>
      </c>
      <c r="O26" s="653"/>
    </row>
    <row r="27" spans="1:16" ht="27.75" customHeight="1">
      <c r="A27" s="930" t="s">
        <v>364</v>
      </c>
      <c r="B27" s="109" t="s">
        <v>153</v>
      </c>
      <c r="C27"/>
      <c r="D27"/>
      <c r="E27"/>
      <c r="F27"/>
      <c r="G27"/>
      <c r="H27"/>
      <c r="I27" s="277">
        <f>'99'!U64</f>
        <v>24</v>
      </c>
      <c r="J27" s="277">
        <f>'99'!V64</f>
        <v>23</v>
      </c>
      <c r="K27" s="384"/>
      <c r="L27" s="1088"/>
      <c r="M27" s="383" t="str">
        <f>IF('99'!U64=I27,"OK","ERROR")</f>
        <v>OK</v>
      </c>
      <c r="N27" s="311" t="str">
        <f>IF('99'!V64=J27,"OK","ERROR")</f>
        <v>OK</v>
      </c>
      <c r="O27" s="653"/>
    </row>
    <row r="28" spans="1:16" ht="18.600000000000001" thickBot="1">
      <c r="A28" s="361" t="s">
        <v>370</v>
      </c>
      <c r="B28" s="378"/>
      <c r="C28"/>
      <c r="D28"/>
      <c r="E28"/>
      <c r="F28"/>
      <c r="G28"/>
      <c r="H28"/>
      <c r="I28" s="381">
        <f>SUM(I22:I27)</f>
        <v>473</v>
      </c>
      <c r="J28" s="297">
        <f>SUM(J22:J27)</f>
        <v>808</v>
      </c>
      <c r="K28" s="297">
        <f>SUM(K22:K27)</f>
        <v>0</v>
      </c>
      <c r="L28" s="1088"/>
      <c r="M28" s="383" t="str">
        <f>IF('99'!U56+'99'!U65=I28,"OK","ERROR")</f>
        <v>OK</v>
      </c>
      <c r="N28" s="311" t="str">
        <f>IF('99'!V56+'99'!V65=J28,"OK","ERROR")</f>
        <v>OK</v>
      </c>
      <c r="O28" s="653"/>
    </row>
    <row r="29" spans="1:16" ht="21" thickBot="1">
      <c r="A29" s="365" t="s">
        <v>371</v>
      </c>
      <c r="B29" s="106"/>
      <c r="C29"/>
      <c r="D29"/>
      <c r="E29"/>
      <c r="F29"/>
      <c r="G29"/>
      <c r="H29"/>
      <c r="I29" s="47">
        <f>+I19+I28</f>
        <v>2147</v>
      </c>
      <c r="J29" s="47">
        <f>+J19+J28</f>
        <v>2655</v>
      </c>
      <c r="K29" s="47">
        <f>+K19+K28</f>
        <v>0</v>
      </c>
      <c r="L29" s="1088"/>
      <c r="M29" s="313" t="str">
        <f>IF('99'!U66=I29,"OK","ERROR")</f>
        <v>OK</v>
      </c>
      <c r="N29" s="313" t="str">
        <f>IF('99'!V66=J29,"OK","ERROR")</f>
        <v>OK</v>
      </c>
      <c r="O29" s="322"/>
      <c r="P29" s="114"/>
    </row>
    <row r="30" spans="1:16" ht="12" customHeight="1">
      <c r="A30" s="665"/>
      <c r="B30" s="659"/>
      <c r="C30"/>
      <c r="D30"/>
      <c r="E30"/>
      <c r="F30"/>
      <c r="G30"/>
      <c r="H30"/>
      <c r="I30" s="664"/>
      <c r="J30" s="664"/>
      <c r="K30" s="661"/>
      <c r="L30" s="1088"/>
      <c r="M30" s="691"/>
      <c r="N30" s="664"/>
      <c r="O30" s="322"/>
      <c r="P30" s="114"/>
    </row>
    <row r="31" spans="1:16" ht="12" customHeight="1">
      <c r="A31" s="668" t="s">
        <v>375</v>
      </c>
      <c r="B31" s="658"/>
      <c r="C31" s="661"/>
      <c r="D31" s="661"/>
      <c r="E31" s="661"/>
      <c r="F31" s="661"/>
      <c r="G31" s="661"/>
      <c r="H31" s="661"/>
      <c r="I31" s="661"/>
      <c r="J31" s="661"/>
      <c r="K31" s="661"/>
      <c r="L31" s="1088"/>
      <c r="M31" s="658"/>
      <c r="N31" s="661"/>
      <c r="O31" s="653"/>
    </row>
    <row r="32" spans="1:16" ht="12" customHeight="1">
      <c r="A32" s="82"/>
      <c r="B32" s="84"/>
      <c r="C32" s="85"/>
      <c r="D32" s="85"/>
      <c r="E32" s="85"/>
      <c r="F32" s="85"/>
      <c r="G32" s="85"/>
      <c r="H32" s="85"/>
      <c r="I32" s="85"/>
      <c r="J32" s="85"/>
      <c r="K32" s="85"/>
      <c r="L32" s="1088"/>
      <c r="M32" s="84"/>
      <c r="N32" s="85"/>
    </row>
    <row r="33" spans="1:16" ht="15" customHeight="1">
      <c r="A33" s="82"/>
      <c r="B33" s="273"/>
      <c r="C33" s="270"/>
      <c r="D33" s="270"/>
      <c r="E33" s="270"/>
      <c r="F33" s="270"/>
      <c r="G33" s="270"/>
      <c r="H33" s="270"/>
      <c r="I33" s="270"/>
      <c r="J33" s="270"/>
      <c r="K33" s="270"/>
      <c r="L33" s="1088"/>
      <c r="M33" s="84"/>
      <c r="N33" s="270"/>
      <c r="P33" s="270"/>
    </row>
    <row r="34" spans="1:16" ht="0" hidden="1" customHeight="1">
      <c r="L34" s="812"/>
    </row>
    <row r="35" spans="1:16" ht="0" hidden="1" customHeight="1">
      <c r="L35" s="812"/>
    </row>
    <row r="36" spans="1:16" ht="0" hidden="1" customHeight="1">
      <c r="L36" s="812"/>
    </row>
    <row r="37" spans="1:16" ht="0" hidden="1" customHeight="1">
      <c r="L37" s="812"/>
    </row>
    <row r="38" spans="1:16" ht="0" hidden="1" customHeight="1">
      <c r="L38" s="812"/>
    </row>
    <row r="39" spans="1:16" ht="0" hidden="1" customHeight="1">
      <c r="L39" s="812"/>
    </row>
    <row r="40" spans="1:16" ht="0" hidden="1" customHeight="1">
      <c r="L40" s="812"/>
    </row>
    <row r="41" spans="1:16" ht="0" hidden="1" customHeight="1">
      <c r="L41" s="812"/>
    </row>
    <row r="42" spans="1:16" ht="0" hidden="1" customHeight="1">
      <c r="L42" s="812"/>
    </row>
    <row r="43" spans="1:16" ht="0" hidden="1" customHeight="1">
      <c r="L43" s="812"/>
    </row>
    <row r="44" spans="1:16" ht="0" hidden="1" customHeight="1">
      <c r="L44" s="812"/>
    </row>
    <row r="45" spans="1:16" ht="0" hidden="1" customHeight="1">
      <c r="L45" s="812"/>
    </row>
    <row r="46" spans="1:16" ht="0" hidden="1" customHeight="1">
      <c r="L46" s="812"/>
    </row>
    <row r="47" spans="1:16" ht="0" hidden="1" customHeight="1">
      <c r="L47" s="812"/>
    </row>
    <row r="48" spans="1:16" ht="0" hidden="1" customHeight="1">
      <c r="L48" s="812"/>
    </row>
    <row r="49" spans="12:12" ht="0" hidden="1" customHeight="1">
      <c r="L49" s="812"/>
    </row>
    <row r="50" spans="12:12" ht="0" hidden="1" customHeight="1">
      <c r="L50" s="812"/>
    </row>
  </sheetData>
  <mergeCells count="5">
    <mergeCell ref="L6:L33"/>
    <mergeCell ref="M1:N3"/>
    <mergeCell ref="I8:J8"/>
    <mergeCell ref="I6:J6"/>
    <mergeCell ref="I7:J7"/>
  </mergeCells>
  <phoneticPr fontId="54" type="noConversion"/>
  <pageMargins left="1.05" right="0.95" top="0.52" bottom="0.68" header="0.5" footer="0.5"/>
  <pageSetup scale="116" orientation="portrait" horizontalDpi="300" verticalDpi="300"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R94"/>
  <sheetViews>
    <sheetView showGridLines="0" showZeros="0" tabSelected="1" defaultGridColor="0" colorId="8" zoomScaleNormal="100" zoomScaleSheetLayoutView="50" workbookViewId="0">
      <selection activeCell="H5" sqref="H5"/>
    </sheetView>
  </sheetViews>
  <sheetFormatPr defaultColWidth="0" defaultRowHeight="10.15"/>
  <cols>
    <col min="1" max="1" width="32.25" style="12" customWidth="1"/>
    <col min="2" max="2" width="3" style="11" customWidth="1"/>
    <col min="3" max="3" width="4.125" style="12" customWidth="1"/>
    <col min="4" max="4" width="4.5" style="12" customWidth="1"/>
    <col min="5" max="5" width="4.125" style="12" customWidth="1"/>
    <col min="6" max="6" width="4.5" style="12" customWidth="1"/>
    <col min="7" max="7" width="4.125" style="12" customWidth="1"/>
    <col min="8" max="8" width="4.5" style="12" customWidth="1"/>
    <col min="9" max="9" width="4.125" style="12" customWidth="1"/>
    <col min="10" max="10" width="4.5" style="12" customWidth="1"/>
    <col min="11" max="11" width="4.125" style="12" customWidth="1"/>
    <col min="12" max="12" width="4.5" style="12" customWidth="1"/>
    <col min="13" max="14" width="5.125" style="12" customWidth="1"/>
    <col min="15" max="15" width="4.125" style="12" customWidth="1"/>
    <col min="16" max="20" width="4.5" style="12" customWidth="1"/>
    <col min="21" max="21" width="4.75" style="13" customWidth="1"/>
    <col min="22" max="22" width="5.125" style="13" customWidth="1"/>
    <col min="23" max="23" width="5.5" style="13" customWidth="1"/>
    <col min="24" max="24" width="1.75" style="12" customWidth="1"/>
    <col min="25" max="53" width="6.625" style="12" hidden="1" customWidth="1"/>
    <col min="54" max="16384" width="0" style="12" hidden="1"/>
  </cols>
  <sheetData>
    <row r="1" spans="1:96" s="3" customFormat="1" ht="27.6">
      <c r="A1" s="814" t="str">
        <f>Cover!A3</f>
        <v>FALL ENROLLMENT 2021</v>
      </c>
      <c r="B1" s="33"/>
      <c r="C1" s="33"/>
      <c r="D1" s="33"/>
      <c r="E1" s="33"/>
      <c r="F1" s="33"/>
      <c r="G1" s="33"/>
      <c r="H1" s="33"/>
      <c r="I1" s="33"/>
      <c r="J1" s="33"/>
      <c r="K1" s="33"/>
      <c r="L1" s="33"/>
      <c r="M1" s="33"/>
      <c r="N1" s="33"/>
      <c r="O1" s="33"/>
      <c r="P1" s="33"/>
      <c r="Q1" s="33"/>
      <c r="R1" s="33"/>
      <c r="S1" s="33"/>
      <c r="T1" s="33"/>
      <c r="U1" s="33"/>
      <c r="V1" s="33"/>
      <c r="W1" s="33"/>
      <c r="X1" s="790">
        <f>IF(COUNT(C18:P25,C28:P29,C32:P34,C48:P55,C58:P59,C62:P64)&gt;0,1,0)</f>
        <v>1</v>
      </c>
    </row>
    <row r="2" spans="1:96" s="4" customFormat="1">
      <c r="A2" s="249" t="str">
        <f>Cover!A62</f>
        <v>2122</v>
      </c>
      <c r="B2" s="56"/>
      <c r="C2" s="56"/>
      <c r="D2" s="56"/>
      <c r="E2" s="56"/>
      <c r="F2" s="56"/>
      <c r="G2" s="56"/>
      <c r="H2" s="56"/>
      <c r="I2" s="56"/>
      <c r="J2" s="56"/>
    </row>
    <row r="3" spans="1:96" s="3" customFormat="1" ht="13.9" thickBot="1">
      <c r="A3" s="962" t="str">
        <f>Cover!$A$8</f>
        <v>Western Connecticut State University</v>
      </c>
      <c r="B3" s="57"/>
      <c r="C3" s="58"/>
      <c r="D3" s="57"/>
      <c r="E3" s="57"/>
      <c r="F3" s="57"/>
      <c r="G3" s="57"/>
      <c r="H3" s="57"/>
      <c r="I3" s="57"/>
      <c r="J3" s="57"/>
      <c r="K3" s="5" t="s">
        <v>48</v>
      </c>
      <c r="M3" s="2"/>
      <c r="N3" s="6" t="str">
        <f>+Cover!$A$10</f>
        <v>Jerry Wilcox</v>
      </c>
      <c r="O3" s="7"/>
      <c r="P3" s="8"/>
      <c r="Q3" s="8"/>
      <c r="R3" s="8"/>
      <c r="S3" s="8"/>
      <c r="T3" s="8"/>
      <c r="U3" s="7"/>
      <c r="X3" s="789"/>
    </row>
    <row r="4" spans="1:96" s="3" customFormat="1" ht="13.9" thickBot="1">
      <c r="A4" s="31">
        <f>Cover!$B$8</f>
        <v>130776</v>
      </c>
      <c r="B4" s="57"/>
      <c r="C4" s="58"/>
      <c r="D4" s="57"/>
      <c r="E4" s="56"/>
      <c r="F4" s="57"/>
      <c r="G4" s="56"/>
      <c r="H4" s="57"/>
      <c r="I4" s="56"/>
      <c r="J4" s="57"/>
      <c r="K4" s="5" t="s">
        <v>49</v>
      </c>
      <c r="M4" s="9"/>
      <c r="N4" s="6" t="str">
        <f>+Cover!$B$10</f>
        <v>Director, Institutional Research and Assessment</v>
      </c>
      <c r="O4" s="7"/>
      <c r="P4" s="8"/>
      <c r="Q4" s="8"/>
      <c r="R4" s="8"/>
      <c r="S4" s="8"/>
      <c r="T4" s="8"/>
      <c r="U4" s="7"/>
    </row>
    <row r="5" spans="1:96" s="3" customFormat="1" ht="16.149999999999999" thickBot="1">
      <c r="A5" s="32" t="str">
        <f>Cover!$C$8</f>
        <v>Danbury</v>
      </c>
      <c r="B5" s="57"/>
      <c r="C5" s="58"/>
      <c r="D5" s="57"/>
      <c r="E5" s="56"/>
      <c r="F5" s="57"/>
      <c r="G5" s="56"/>
      <c r="H5" s="57"/>
      <c r="I5" s="56"/>
      <c r="J5" s="57"/>
      <c r="K5" s="5" t="s">
        <v>50</v>
      </c>
      <c r="M5" s="9"/>
      <c r="N5" s="990" t="str">
        <f>+Cover!$C$10</f>
        <v>203-837-8242</v>
      </c>
      <c r="O5" s="1152"/>
      <c r="P5" s="1152"/>
      <c r="Q5" s="939"/>
      <c r="R5" s="939"/>
      <c r="S5" s="939"/>
      <c r="T5" s="939"/>
      <c r="U5" s="7"/>
    </row>
    <row r="6" spans="1:96" ht="10.5" customHeight="1">
      <c r="A6" s="10"/>
      <c r="B6" s="56"/>
      <c r="C6" s="56"/>
      <c r="D6" s="56"/>
      <c r="E6" s="56"/>
      <c r="F6" s="56"/>
      <c r="G6" s="56"/>
      <c r="H6" s="56"/>
      <c r="I6" s="56"/>
      <c r="J6" s="56"/>
      <c r="L6" s="9"/>
      <c r="N6" s="9"/>
      <c r="P6" s="9"/>
      <c r="Q6" s="9"/>
      <c r="R6" s="9"/>
      <c r="S6" s="9"/>
      <c r="T6" s="9"/>
      <c r="V6" s="14"/>
      <c r="W6" s="14"/>
    </row>
    <row r="7" spans="1:96" ht="20.45">
      <c r="A7" s="537" t="s">
        <v>51</v>
      </c>
    </row>
    <row r="8" spans="1:96">
      <c r="A8" s="10" t="s">
        <v>52</v>
      </c>
    </row>
    <row r="9" spans="1: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96">
      <c r="A10" s="984" t="s">
        <v>53</v>
      </c>
      <c r="B10" s="36"/>
      <c r="C10" s="991" t="s">
        <v>54</v>
      </c>
      <c r="D10" s="992"/>
      <c r="E10" s="991" t="s">
        <v>55</v>
      </c>
      <c r="F10" s="992"/>
      <c r="G10" s="991" t="s">
        <v>56</v>
      </c>
      <c r="H10" s="992"/>
      <c r="I10" s="991"/>
      <c r="J10" s="992"/>
      <c r="K10" s="991" t="s">
        <v>57</v>
      </c>
      <c r="L10" s="992"/>
      <c r="M10" s="991"/>
      <c r="N10" s="992"/>
      <c r="O10" s="991" t="s">
        <v>58</v>
      </c>
      <c r="P10" s="992"/>
      <c r="Q10" s="991" t="s">
        <v>59</v>
      </c>
      <c r="R10" s="992"/>
      <c r="S10" s="991" t="s">
        <v>60</v>
      </c>
      <c r="T10" s="992"/>
      <c r="U10" s="59" t="s">
        <v>61</v>
      </c>
      <c r="V10" s="60"/>
      <c r="W10" s="61"/>
    </row>
    <row r="11" spans="1:96" ht="12" customHeight="1">
      <c r="A11" s="985"/>
      <c r="B11" s="20"/>
      <c r="C11" s="993" t="s">
        <v>62</v>
      </c>
      <c r="D11" s="994"/>
      <c r="E11" s="993" t="s">
        <v>63</v>
      </c>
      <c r="F11" s="994"/>
      <c r="G11" s="993" t="s">
        <v>64</v>
      </c>
      <c r="H11" s="994"/>
      <c r="I11" s="993" t="s">
        <v>65</v>
      </c>
      <c r="J11" s="994"/>
      <c r="K11" s="993" t="s">
        <v>66</v>
      </c>
      <c r="L11" s="994"/>
      <c r="M11" s="993" t="s">
        <v>67</v>
      </c>
      <c r="N11" s="994"/>
      <c r="O11" s="993" t="s">
        <v>68</v>
      </c>
      <c r="P11" s="994"/>
      <c r="Q11" s="993" t="s">
        <v>69</v>
      </c>
      <c r="R11" s="994"/>
      <c r="S11" s="993" t="s">
        <v>70</v>
      </c>
      <c r="T11" s="994"/>
      <c r="U11" s="62" t="s">
        <v>71</v>
      </c>
      <c r="V11" s="63"/>
      <c r="W11" s="64"/>
    </row>
    <row r="12" spans="1:96" s="17" customFormat="1" ht="12" customHeight="1">
      <c r="A12" s="986" t="s">
        <v>72</v>
      </c>
      <c r="B12" s="20"/>
      <c r="C12" s="995" t="s">
        <v>73</v>
      </c>
      <c r="D12" s="996"/>
      <c r="E12" s="995" t="s">
        <v>56</v>
      </c>
      <c r="F12" s="996"/>
      <c r="G12" s="995" t="s">
        <v>74</v>
      </c>
      <c r="H12" s="996"/>
      <c r="I12" s="995"/>
      <c r="J12" s="996"/>
      <c r="K12" s="995" t="s">
        <v>75</v>
      </c>
      <c r="L12" s="996"/>
      <c r="M12" s="995"/>
      <c r="N12" s="996"/>
      <c r="O12" s="995" t="s">
        <v>76</v>
      </c>
      <c r="P12" s="996"/>
      <c r="Q12" s="995" t="s">
        <v>77</v>
      </c>
      <c r="R12" s="996"/>
      <c r="S12" s="995" t="s">
        <v>78</v>
      </c>
      <c r="T12" s="996"/>
      <c r="U12" s="65" t="s">
        <v>79</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7.25" customHeight="1">
      <c r="A13" s="1153"/>
      <c r="B13" s="20" t="s">
        <v>80</v>
      </c>
      <c r="C13" s="68" t="s">
        <v>81</v>
      </c>
      <c r="D13" s="23" t="s">
        <v>82</v>
      </c>
      <c r="E13" s="68" t="s">
        <v>81</v>
      </c>
      <c r="F13" s="23" t="s">
        <v>82</v>
      </c>
      <c r="G13" s="68" t="s">
        <v>81</v>
      </c>
      <c r="H13" s="23" t="s">
        <v>82</v>
      </c>
      <c r="I13" s="68" t="s">
        <v>81</v>
      </c>
      <c r="J13" s="23" t="s">
        <v>82</v>
      </c>
      <c r="K13" s="68" t="s">
        <v>81</v>
      </c>
      <c r="L13" s="23" t="s">
        <v>82</v>
      </c>
      <c r="M13" s="68" t="s">
        <v>81</v>
      </c>
      <c r="N13" s="23" t="s">
        <v>82</v>
      </c>
      <c r="O13" s="68" t="s">
        <v>81</v>
      </c>
      <c r="P13" s="23" t="s">
        <v>82</v>
      </c>
      <c r="Q13" s="68" t="s">
        <v>81</v>
      </c>
      <c r="R13" s="23" t="s">
        <v>82</v>
      </c>
      <c r="S13" s="68" t="s">
        <v>81</v>
      </c>
      <c r="T13" s="23" t="s">
        <v>82</v>
      </c>
      <c r="U13" s="69" t="s">
        <v>81</v>
      </c>
      <c r="V13" s="21" t="s">
        <v>82</v>
      </c>
      <c r="W13" s="21" t="s">
        <v>83</v>
      </c>
    </row>
    <row r="14" spans="1:96" s="17" customFormat="1" ht="14.25" customHeight="1">
      <c r="A14" s="601" t="s">
        <v>84</v>
      </c>
      <c r="B14" s="20" t="s">
        <v>85</v>
      </c>
      <c r="C14" s="70" t="s">
        <v>86</v>
      </c>
      <c r="D14" s="70" t="s">
        <v>87</v>
      </c>
      <c r="E14" s="70" t="s">
        <v>88</v>
      </c>
      <c r="F14" s="70" t="s">
        <v>89</v>
      </c>
      <c r="G14" s="70" t="s">
        <v>90</v>
      </c>
      <c r="H14" s="70" t="s">
        <v>91</v>
      </c>
      <c r="I14" s="70" t="s">
        <v>92</v>
      </c>
      <c r="J14" s="70" t="s">
        <v>93</v>
      </c>
      <c r="K14" s="70" t="s">
        <v>94</v>
      </c>
      <c r="L14" s="70" t="s">
        <v>95</v>
      </c>
      <c r="M14" s="70" t="s">
        <v>96</v>
      </c>
      <c r="N14" s="70" t="s">
        <v>97</v>
      </c>
      <c r="O14" s="70" t="s">
        <v>98</v>
      </c>
      <c r="P14" s="70" t="s">
        <v>99</v>
      </c>
      <c r="Q14" s="70" t="s">
        <v>100</v>
      </c>
      <c r="R14" s="70" t="s">
        <v>101</v>
      </c>
      <c r="S14" s="70" t="s">
        <v>102</v>
      </c>
      <c r="T14" s="70" t="s">
        <v>103</v>
      </c>
      <c r="U14" s="71" t="s">
        <v>104</v>
      </c>
      <c r="V14" s="71" t="s">
        <v>105</v>
      </c>
      <c r="W14" s="71" t="s">
        <v>106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987" t="s">
        <v>107</v>
      </c>
      <c r="B15" s="988"/>
      <c r="C15" s="988"/>
      <c r="D15" s="988"/>
      <c r="E15" s="988"/>
      <c r="F15" s="988"/>
      <c r="G15" s="988"/>
      <c r="H15" s="988"/>
      <c r="I15" s="988"/>
      <c r="J15" s="988"/>
      <c r="K15" s="988"/>
      <c r="L15" s="988"/>
      <c r="M15" s="988"/>
      <c r="N15" s="988"/>
      <c r="O15" s="988"/>
      <c r="P15" s="988"/>
      <c r="Q15" s="988"/>
      <c r="R15" s="988"/>
      <c r="S15" s="988"/>
      <c r="T15" s="988"/>
      <c r="U15" s="988"/>
      <c r="V15" s="988"/>
      <c r="W15" s="98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96" ht="17.45">
      <c r="A16" s="548" t="s">
        <v>108</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96" ht="13.15">
      <c r="A17" s="37" t="s">
        <v>109</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4.1" customHeight="1">
      <c r="A18" s="823" t="s">
        <v>110</v>
      </c>
      <c r="B18" s="34" t="s">
        <v>111</v>
      </c>
      <c r="C18" s="40"/>
      <c r="D18" s="41"/>
      <c r="E18" s="40">
        <v>43</v>
      </c>
      <c r="F18" s="41">
        <v>33</v>
      </c>
      <c r="G18" s="40">
        <v>1</v>
      </c>
      <c r="H18" s="41">
        <v>2</v>
      </c>
      <c r="I18" s="40">
        <v>20</v>
      </c>
      <c r="J18" s="41">
        <v>17</v>
      </c>
      <c r="K18" s="40">
        <v>87</v>
      </c>
      <c r="L18" s="41">
        <v>95</v>
      </c>
      <c r="M18" s="40">
        <v>178</v>
      </c>
      <c r="N18" s="41">
        <v>185</v>
      </c>
      <c r="O18" s="40">
        <v>2</v>
      </c>
      <c r="P18" s="41"/>
      <c r="Q18" s="40"/>
      <c r="R18" s="46"/>
      <c r="S18" s="40">
        <v>20</v>
      </c>
      <c r="T18" s="46">
        <v>15</v>
      </c>
      <c r="U18" s="47">
        <f>C18+E18+G18+I18+K18+M18+O18+Q18+S18</f>
        <v>351</v>
      </c>
      <c r="V18" s="42">
        <f>D18+F18+H18+J18+L18+N18+P18+R18+T18</f>
        <v>347</v>
      </c>
      <c r="W18" s="44">
        <f t="shared" ref="W18:W24" si="0">+V18+U18</f>
        <v>698</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7.25" customHeight="1">
      <c r="A19" s="824" t="s">
        <v>112</v>
      </c>
      <c r="B19" s="820" t="s">
        <v>113</v>
      </c>
      <c r="C19" s="40">
        <v>2</v>
      </c>
      <c r="D19" s="41">
        <v>3</v>
      </c>
      <c r="E19" s="40">
        <v>11</v>
      </c>
      <c r="F19" s="41">
        <v>6</v>
      </c>
      <c r="G19" s="40"/>
      <c r="H19" s="41"/>
      <c r="I19" s="40">
        <v>7</v>
      </c>
      <c r="J19" s="41">
        <v>2</v>
      </c>
      <c r="K19" s="40">
        <v>35</v>
      </c>
      <c r="L19" s="41">
        <v>46</v>
      </c>
      <c r="M19" s="40">
        <v>67</v>
      </c>
      <c r="N19" s="41">
        <v>69</v>
      </c>
      <c r="O19" s="40">
        <v>2</v>
      </c>
      <c r="P19" s="41">
        <v>5</v>
      </c>
      <c r="Q19" s="40"/>
      <c r="R19" s="46"/>
      <c r="S19" s="40">
        <v>10</v>
      </c>
      <c r="T19" s="46">
        <v>2</v>
      </c>
      <c r="U19" s="47">
        <f>C19+E19+G19+I19+K19+M19+O19+Q19+S19</f>
        <v>134</v>
      </c>
      <c r="V19" s="42">
        <f>D19+F19+H19+J19+L19+N19+P19+R19+T19</f>
        <v>133</v>
      </c>
      <c r="W19" s="618">
        <f t="shared" si="0"/>
        <v>267</v>
      </c>
      <c r="X1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5" customHeight="1">
      <c r="A20" s="829" t="s">
        <v>114</v>
      </c>
      <c r="B20" s="822"/>
      <c r="C20" s="136"/>
      <c r="D20" s="136"/>
      <c r="E20" s="136"/>
      <c r="F20" s="136"/>
      <c r="G20" s="136"/>
      <c r="H20" s="136"/>
      <c r="I20" s="136"/>
      <c r="J20" s="136"/>
      <c r="K20" s="136"/>
      <c r="L20" s="136"/>
      <c r="M20" s="136"/>
      <c r="N20" s="136"/>
      <c r="O20" s="136"/>
      <c r="P20" s="136"/>
      <c r="Q20" s="136"/>
      <c r="R20" s="136"/>
      <c r="S20" s="136"/>
      <c r="T20" s="136"/>
      <c r="U20" s="821"/>
      <c r="V20" s="821"/>
      <c r="W20" s="42"/>
      <c r="X20"/>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6.5" customHeight="1">
      <c r="A21" s="825" t="s">
        <v>115</v>
      </c>
      <c r="B21" s="22" t="s">
        <v>116</v>
      </c>
      <c r="C21" s="40"/>
      <c r="D21" s="41"/>
      <c r="E21" s="40">
        <v>52</v>
      </c>
      <c r="F21" s="41">
        <v>41</v>
      </c>
      <c r="G21" s="40">
        <v>1</v>
      </c>
      <c r="H21" s="41">
        <v>4</v>
      </c>
      <c r="I21" s="40">
        <v>14</v>
      </c>
      <c r="J21" s="41">
        <v>20</v>
      </c>
      <c r="K21" s="40">
        <v>99</v>
      </c>
      <c r="L21" s="41">
        <v>168</v>
      </c>
      <c r="M21" s="40">
        <v>233</v>
      </c>
      <c r="N21" s="41">
        <v>201</v>
      </c>
      <c r="O21" s="40">
        <v>1</v>
      </c>
      <c r="P21" s="41">
        <v>2</v>
      </c>
      <c r="Q21" s="40"/>
      <c r="R21" s="46"/>
      <c r="S21" s="40">
        <v>27</v>
      </c>
      <c r="T21" s="46">
        <v>31</v>
      </c>
      <c r="U21" s="47">
        <f t="shared" ref="U21:V26" si="1">C21+E21+G21+I21+K21+M21+O21+Q21+S21</f>
        <v>427</v>
      </c>
      <c r="V21" s="42">
        <f t="shared" si="1"/>
        <v>467</v>
      </c>
      <c r="W21" s="49">
        <f t="shared" si="0"/>
        <v>894</v>
      </c>
      <c r="X21"/>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4.1" customHeight="1">
      <c r="A22" s="825" t="s">
        <v>117</v>
      </c>
      <c r="B22" s="22" t="s">
        <v>118</v>
      </c>
      <c r="C22" s="40">
        <v>1</v>
      </c>
      <c r="D22" s="41"/>
      <c r="E22" s="40">
        <v>26</v>
      </c>
      <c r="F22" s="41">
        <v>33</v>
      </c>
      <c r="G22" s="40"/>
      <c r="H22" s="41">
        <v>1</v>
      </c>
      <c r="I22" s="40">
        <v>17</v>
      </c>
      <c r="J22" s="41">
        <v>17</v>
      </c>
      <c r="K22" s="40">
        <v>79</v>
      </c>
      <c r="L22" s="41">
        <v>108</v>
      </c>
      <c r="M22" s="40">
        <v>220</v>
      </c>
      <c r="N22" s="41">
        <v>219</v>
      </c>
      <c r="O22" s="40">
        <v>8</v>
      </c>
      <c r="P22" s="41">
        <v>8</v>
      </c>
      <c r="Q22" s="40"/>
      <c r="R22" s="46"/>
      <c r="S22" s="40">
        <v>21</v>
      </c>
      <c r="T22" s="46">
        <v>20</v>
      </c>
      <c r="U22" s="47">
        <f t="shared" si="1"/>
        <v>372</v>
      </c>
      <c r="V22" s="42">
        <f t="shared" si="1"/>
        <v>406</v>
      </c>
      <c r="W22" s="44">
        <f t="shared" si="0"/>
        <v>778</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4.1" customHeight="1">
      <c r="A23" s="825" t="s">
        <v>119</v>
      </c>
      <c r="B23" s="22" t="s">
        <v>120</v>
      </c>
      <c r="C23" s="40"/>
      <c r="D23" s="41"/>
      <c r="E23" s="40">
        <v>33</v>
      </c>
      <c r="F23" s="41">
        <v>27</v>
      </c>
      <c r="G23" s="40"/>
      <c r="H23" s="41">
        <v>2</v>
      </c>
      <c r="I23" s="40">
        <v>19</v>
      </c>
      <c r="J23" s="41">
        <v>31</v>
      </c>
      <c r="K23" s="40">
        <v>61</v>
      </c>
      <c r="L23" s="41">
        <v>92</v>
      </c>
      <c r="M23" s="40">
        <v>232</v>
      </c>
      <c r="N23" s="41">
        <v>263</v>
      </c>
      <c r="O23" s="40">
        <v>11</v>
      </c>
      <c r="P23" s="41">
        <v>14</v>
      </c>
      <c r="Q23" s="40"/>
      <c r="R23" s="46"/>
      <c r="S23" s="40">
        <v>11</v>
      </c>
      <c r="T23" s="46">
        <v>7</v>
      </c>
      <c r="U23" s="47">
        <f t="shared" si="1"/>
        <v>367</v>
      </c>
      <c r="V23" s="42">
        <f t="shared" si="1"/>
        <v>436</v>
      </c>
      <c r="W23" s="44">
        <f t="shared" si="0"/>
        <v>803</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4.1" customHeight="1">
      <c r="A24" s="825" t="s">
        <v>121</v>
      </c>
      <c r="B24" s="22" t="s">
        <v>122</v>
      </c>
      <c r="C24" s="40"/>
      <c r="D24" s="41"/>
      <c r="E24" s="40"/>
      <c r="F24" s="41"/>
      <c r="G24" s="40"/>
      <c r="H24" s="41"/>
      <c r="I24" s="40"/>
      <c r="J24" s="41"/>
      <c r="K24" s="40"/>
      <c r="L24" s="41"/>
      <c r="M24" s="40"/>
      <c r="N24" s="41"/>
      <c r="O24" s="40"/>
      <c r="P24" s="41"/>
      <c r="Q24" s="40"/>
      <c r="R24" s="46"/>
      <c r="S24" s="40"/>
      <c r="T24" s="46"/>
      <c r="U24" s="47">
        <f t="shared" si="1"/>
        <v>0</v>
      </c>
      <c r="V24" s="42">
        <f t="shared" si="1"/>
        <v>0</v>
      </c>
      <c r="W24" s="44">
        <f t="shared" si="0"/>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7" t="s">
        <v>123</v>
      </c>
      <c r="B25" s="22" t="s">
        <v>124</v>
      </c>
      <c r="C25" s="40"/>
      <c r="D25" s="41"/>
      <c r="E25" s="40"/>
      <c r="F25" s="41"/>
      <c r="G25" s="40"/>
      <c r="H25" s="41"/>
      <c r="I25" s="40"/>
      <c r="J25" s="41"/>
      <c r="K25" s="40"/>
      <c r="L25" s="41"/>
      <c r="M25" s="40"/>
      <c r="N25" s="41"/>
      <c r="O25" s="40"/>
      <c r="P25" s="41"/>
      <c r="Q25" s="40"/>
      <c r="R25" s="46"/>
      <c r="S25" s="40"/>
      <c r="T25" s="46"/>
      <c r="U25" s="47">
        <f t="shared" si="1"/>
        <v>0</v>
      </c>
      <c r="V25" s="42">
        <f t="shared" si="1"/>
        <v>0</v>
      </c>
      <c r="W25" s="49">
        <f>+V25+U25</f>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40.15" thickBot="1">
      <c r="A26" s="550" t="s">
        <v>125</v>
      </c>
      <c r="B26" s="551" t="s">
        <v>126</v>
      </c>
      <c r="C26" s="552">
        <f>SUM(C18:C25)</f>
        <v>3</v>
      </c>
      <c r="D26" s="552">
        <f t="shared" ref="D26:P26" si="2">SUM(D18:D25)</f>
        <v>3</v>
      </c>
      <c r="E26" s="552">
        <f t="shared" si="2"/>
        <v>165</v>
      </c>
      <c r="F26" s="552">
        <f t="shared" si="2"/>
        <v>140</v>
      </c>
      <c r="G26" s="552">
        <f t="shared" si="2"/>
        <v>2</v>
      </c>
      <c r="H26" s="552">
        <f t="shared" si="2"/>
        <v>9</v>
      </c>
      <c r="I26" s="552">
        <f t="shared" si="2"/>
        <v>77</v>
      </c>
      <c r="J26" s="552">
        <f t="shared" si="2"/>
        <v>87</v>
      </c>
      <c r="K26" s="552">
        <f t="shared" si="2"/>
        <v>361</v>
      </c>
      <c r="L26" s="552">
        <f t="shared" si="2"/>
        <v>509</v>
      </c>
      <c r="M26" s="552">
        <f t="shared" si="2"/>
        <v>930</v>
      </c>
      <c r="N26" s="552">
        <f t="shared" si="2"/>
        <v>937</v>
      </c>
      <c r="O26" s="552">
        <f t="shared" si="2"/>
        <v>24</v>
      </c>
      <c r="P26" s="552">
        <f t="shared" si="2"/>
        <v>29</v>
      </c>
      <c r="Q26" s="552">
        <f>SUM(Q18:Q25)</f>
        <v>0</v>
      </c>
      <c r="R26" s="552">
        <f>SUM(R18:R25)</f>
        <v>0</v>
      </c>
      <c r="S26" s="552">
        <f>SUM(S18:S25)</f>
        <v>89</v>
      </c>
      <c r="T26" s="552">
        <f>SUM(T18:T25)</f>
        <v>75</v>
      </c>
      <c r="U26" s="552">
        <f t="shared" si="1"/>
        <v>1651</v>
      </c>
      <c r="V26" s="552">
        <f t="shared" si="1"/>
        <v>1789</v>
      </c>
      <c r="W26" s="553">
        <f>+V26+U26</f>
        <v>3440</v>
      </c>
      <c r="X26" s="608"/>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96" ht="18" hidden="1" customHeight="1" thickTop="1">
      <c r="A27" s="548" t="s">
        <v>127</v>
      </c>
      <c r="B27" s="239"/>
      <c r="C27" s="549"/>
      <c r="D27" s="549"/>
      <c r="E27" s="549"/>
      <c r="F27" s="549"/>
      <c r="G27" s="549"/>
      <c r="H27" s="549"/>
      <c r="I27" s="549"/>
      <c r="J27" s="549"/>
      <c r="K27" s="549"/>
      <c r="L27" s="549"/>
      <c r="M27" s="549"/>
      <c r="N27" s="549"/>
      <c r="O27" s="549"/>
      <c r="P27" s="549"/>
      <c r="Q27" s="549"/>
      <c r="R27" s="549"/>
      <c r="S27" s="549"/>
      <c r="T27" s="549"/>
      <c r="U27" s="371"/>
      <c r="V27" s="371"/>
      <c r="W27" s="485"/>
      <c r="X27" s="609"/>
    </row>
    <row r="28" spans="1:96" s="17" customFormat="1" ht="13.15" hidden="1">
      <c r="A28" s="38" t="s">
        <v>128</v>
      </c>
      <c r="B28" s="34" t="s">
        <v>129</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9" hidden="1" thickBot="1">
      <c r="A29" s="604" t="s">
        <v>130</v>
      </c>
      <c r="B29" s="605" t="s">
        <v>131</v>
      </c>
      <c r="C29" s="606"/>
      <c r="D29" s="607"/>
      <c r="E29" s="606"/>
      <c r="F29" s="607"/>
      <c r="G29" s="606"/>
      <c r="H29" s="607"/>
      <c r="I29" s="606"/>
      <c r="J29" s="607"/>
      <c r="K29" s="606"/>
      <c r="L29" s="607"/>
      <c r="M29" s="606"/>
      <c r="N29" s="607"/>
      <c r="O29" s="606"/>
      <c r="P29" s="607"/>
      <c r="Q29" s="607"/>
      <c r="R29" s="607"/>
      <c r="S29" s="607"/>
      <c r="T29" s="607"/>
      <c r="U29" s="299">
        <f>C29+E29+G29+I29+K29+M29+O29</f>
        <v>0</v>
      </c>
      <c r="V29" s="299">
        <f>D29+F29+H29+J29+L29+N29+P29</f>
        <v>0</v>
      </c>
      <c r="W29" s="297">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96" ht="18" thickTop="1">
      <c r="A30" s="548" t="s">
        <v>132</v>
      </c>
      <c r="B30" s="239"/>
      <c r="C30" s="549"/>
      <c r="D30" s="549"/>
      <c r="E30" s="549"/>
      <c r="F30" s="549"/>
      <c r="G30" s="549"/>
      <c r="H30" s="549"/>
      <c r="I30" s="549"/>
      <c r="J30" s="549"/>
      <c r="K30" s="549"/>
      <c r="L30" s="549"/>
      <c r="M30" s="549"/>
      <c r="N30" s="549"/>
      <c r="O30" s="549"/>
      <c r="P30" s="549"/>
      <c r="Q30" s="549"/>
      <c r="R30" s="549"/>
      <c r="S30" s="549"/>
      <c r="T30" s="549"/>
      <c r="U30" s="371"/>
      <c r="V30" s="371"/>
      <c r="W30" s="485"/>
    </row>
    <row r="31" spans="1:96" ht="13.15">
      <c r="A31" s="37" t="s">
        <v>133</v>
      </c>
      <c r="B31" s="242" t="s">
        <v>61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3.15">
      <c r="A32" s="538" t="s">
        <v>134</v>
      </c>
      <c r="B32" s="22" t="s">
        <v>135</v>
      </c>
      <c r="C32" s="40"/>
      <c r="D32" s="41">
        <v>1</v>
      </c>
      <c r="E32" s="40">
        <v>1</v>
      </c>
      <c r="F32" s="41">
        <v>1</v>
      </c>
      <c r="G32" s="40"/>
      <c r="H32" s="41"/>
      <c r="I32" s="40"/>
      <c r="J32" s="41">
        <v>2</v>
      </c>
      <c r="K32" s="40">
        <v>1</v>
      </c>
      <c r="L32" s="41">
        <v>6</v>
      </c>
      <c r="M32" s="40">
        <v>5</v>
      </c>
      <c r="N32" s="41">
        <v>15</v>
      </c>
      <c r="O32" s="40"/>
      <c r="P32" s="41">
        <v>1</v>
      </c>
      <c r="Q32" s="40"/>
      <c r="R32" s="46">
        <v>1</v>
      </c>
      <c r="S32" s="40"/>
      <c r="T32" s="46"/>
      <c r="U32" s="47">
        <f t="shared" ref="U32:V35" si="3">C32+E32+G32+I32+K32+M32+O32+Q32+S32</f>
        <v>7</v>
      </c>
      <c r="V32" s="42">
        <f t="shared" si="3"/>
        <v>27</v>
      </c>
      <c r="W32" s="49">
        <f>+V32+U32</f>
        <v>34</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3.15">
      <c r="A33" s="538" t="s">
        <v>136</v>
      </c>
      <c r="B33" s="22">
        <v>12</v>
      </c>
      <c r="C33" s="40"/>
      <c r="D33" s="41">
        <v>1</v>
      </c>
      <c r="E33" s="40">
        <v>1</v>
      </c>
      <c r="F33" s="41">
        <v>2</v>
      </c>
      <c r="G33" s="40"/>
      <c r="H33" s="41"/>
      <c r="I33" s="40"/>
      <c r="J33" s="41">
        <v>1</v>
      </c>
      <c r="K33" s="40">
        <v>2</v>
      </c>
      <c r="L33" s="41">
        <v>8</v>
      </c>
      <c r="M33" s="40">
        <v>13</v>
      </c>
      <c r="N33" s="41">
        <v>18</v>
      </c>
      <c r="O33" s="40"/>
      <c r="P33" s="41">
        <v>1</v>
      </c>
      <c r="Q33" s="40"/>
      <c r="R33" s="46"/>
      <c r="S33" s="40"/>
      <c r="T33" s="46"/>
      <c r="U33" s="47">
        <f t="shared" si="3"/>
        <v>16</v>
      </c>
      <c r="V33" s="42">
        <f t="shared" si="3"/>
        <v>31</v>
      </c>
      <c r="W33" s="44">
        <f>+V33+U33</f>
        <v>47</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39.6">
      <c r="A34" s="547" t="s">
        <v>137</v>
      </c>
      <c r="B34" s="22" t="s">
        <v>138</v>
      </c>
      <c r="C34" s="40"/>
      <c r="D34" s="41"/>
      <c r="E34" s="40"/>
      <c r="F34" s="41"/>
      <c r="G34" s="40"/>
      <c r="H34" s="41"/>
      <c r="I34" s="40"/>
      <c r="J34" s="41"/>
      <c r="K34" s="40"/>
      <c r="L34" s="41"/>
      <c r="M34" s="40"/>
      <c r="N34" s="41"/>
      <c r="O34" s="40"/>
      <c r="P34" s="41"/>
      <c r="Q34" s="40"/>
      <c r="R34" s="46"/>
      <c r="S34" s="40"/>
      <c r="T34" s="46"/>
      <c r="U34" s="47">
        <f t="shared" si="3"/>
        <v>0</v>
      </c>
      <c r="V34" s="42">
        <f t="shared" si="3"/>
        <v>0</v>
      </c>
      <c r="W34" s="44">
        <f>+V34+U34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6" t="s">
        <v>139</v>
      </c>
      <c r="B35" s="24" t="s">
        <v>140</v>
      </c>
      <c r="C35" s="47">
        <f>SUM(C32:C34)</f>
        <v>0</v>
      </c>
      <c r="D35" s="47">
        <f t="shared" ref="D35:P35" si="4">SUM(D32:D34)</f>
        <v>2</v>
      </c>
      <c r="E35" s="47">
        <f t="shared" si="4"/>
        <v>2</v>
      </c>
      <c r="F35" s="47">
        <f t="shared" si="4"/>
        <v>3</v>
      </c>
      <c r="G35" s="47">
        <f t="shared" si="4"/>
        <v>0</v>
      </c>
      <c r="H35" s="47">
        <f t="shared" si="4"/>
        <v>0</v>
      </c>
      <c r="I35" s="47">
        <f t="shared" si="4"/>
        <v>0</v>
      </c>
      <c r="J35" s="47">
        <f t="shared" si="4"/>
        <v>3</v>
      </c>
      <c r="K35" s="47">
        <f t="shared" si="4"/>
        <v>3</v>
      </c>
      <c r="L35" s="47">
        <f t="shared" si="4"/>
        <v>14</v>
      </c>
      <c r="M35" s="47">
        <f t="shared" si="4"/>
        <v>18</v>
      </c>
      <c r="N35" s="47">
        <f t="shared" si="4"/>
        <v>33</v>
      </c>
      <c r="O35" s="47">
        <f t="shared" si="4"/>
        <v>0</v>
      </c>
      <c r="P35" s="47">
        <f t="shared" si="4"/>
        <v>2</v>
      </c>
      <c r="Q35" s="47">
        <f>SUM(Q32:Q34)</f>
        <v>0</v>
      </c>
      <c r="R35" s="47">
        <f>SUM(R32:R34)</f>
        <v>1</v>
      </c>
      <c r="S35" s="47">
        <f>SUM(S32:S34)</f>
        <v>0</v>
      </c>
      <c r="T35" s="47">
        <f>SUM(T32:T34)</f>
        <v>0</v>
      </c>
      <c r="U35" s="47">
        <f t="shared" si="3"/>
        <v>23</v>
      </c>
      <c r="V35" s="47">
        <f t="shared" si="3"/>
        <v>58</v>
      </c>
      <c r="W35" s="49">
        <f>U35+V35</f>
        <v>81</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spans="1:96" ht="25.5" customHeight="1"/>
    <row r="37" spans="1:96" ht="15.6">
      <c r="A37" s="483" t="str">
        <f>+A42&amp;" PART A (Continued)"</f>
        <v>990000 PART A (Continued)</v>
      </c>
      <c r="B37" s="26" t="str">
        <f>A1</f>
        <v>FALL ENROLLMENT 2021</v>
      </c>
      <c r="C37" s="27"/>
      <c r="D37" s="27"/>
      <c r="E37" s="27"/>
      <c r="F37" s="27"/>
      <c r="G37" s="27"/>
      <c r="H37" s="27"/>
      <c r="I37" s="27"/>
      <c r="J37" s="27"/>
      <c r="K37" s="27"/>
      <c r="L37" s="27"/>
      <c r="M37" s="27"/>
      <c r="N37" s="27"/>
      <c r="O37" s="27"/>
      <c r="P37" s="27"/>
      <c r="Q37" s="27"/>
      <c r="R37" s="27"/>
      <c r="S37" s="27"/>
      <c r="T37" s="27"/>
      <c r="U37" s="13" t="s">
        <v>61</v>
      </c>
    </row>
    <row r="38" spans="1:96" ht="15.6">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3.15">
      <c r="A39" s="28" t="s">
        <v>61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96">
      <c r="A40" s="984" t="str">
        <f>+A10</f>
        <v>ALL STUDENTS</v>
      </c>
      <c r="B40" s="36"/>
      <c r="C40" s="991" t="s">
        <v>54</v>
      </c>
      <c r="D40" s="992"/>
      <c r="E40" s="991" t="s">
        <v>55</v>
      </c>
      <c r="F40" s="992"/>
      <c r="G40" s="991" t="s">
        <v>56</v>
      </c>
      <c r="H40" s="992"/>
      <c r="I40" s="991"/>
      <c r="J40" s="992"/>
      <c r="K40" s="991" t="s">
        <v>57</v>
      </c>
      <c r="L40" s="992"/>
      <c r="M40" s="991"/>
      <c r="N40" s="992"/>
      <c r="O40" s="991" t="s">
        <v>58</v>
      </c>
      <c r="P40" s="992"/>
      <c r="Q40" s="991" t="s">
        <v>59</v>
      </c>
      <c r="R40" s="992"/>
      <c r="S40" s="991" t="s">
        <v>60</v>
      </c>
      <c r="T40" s="992"/>
      <c r="U40" s="59" t="s">
        <v>61</v>
      </c>
      <c r="V40" s="60"/>
      <c r="W40" s="61"/>
    </row>
    <row r="41" spans="1:96" ht="12.75" customHeight="1">
      <c r="A41" s="985"/>
      <c r="B41" s="20"/>
      <c r="C41" s="993" t="s">
        <v>62</v>
      </c>
      <c r="D41" s="994"/>
      <c r="E41" s="993" t="s">
        <v>63</v>
      </c>
      <c r="F41" s="994"/>
      <c r="G41" s="993" t="s">
        <v>64</v>
      </c>
      <c r="H41" s="994"/>
      <c r="I41" s="993" t="s">
        <v>65</v>
      </c>
      <c r="J41" s="994"/>
      <c r="K41" s="993" t="s">
        <v>66</v>
      </c>
      <c r="L41" s="994"/>
      <c r="M41" s="993" t="s">
        <v>67</v>
      </c>
      <c r="N41" s="994"/>
      <c r="O41" s="993" t="s">
        <v>68</v>
      </c>
      <c r="P41" s="994"/>
      <c r="Q41" s="993" t="s">
        <v>69</v>
      </c>
      <c r="R41" s="994"/>
      <c r="S41" s="993" t="s">
        <v>70</v>
      </c>
      <c r="T41" s="994"/>
      <c r="U41" s="62" t="s">
        <v>71</v>
      </c>
      <c r="V41" s="63"/>
      <c r="W41" s="64"/>
    </row>
    <row r="42" spans="1:96" s="17" customFormat="1">
      <c r="A42" s="986" t="str">
        <f>+A12</f>
        <v>990000</v>
      </c>
      <c r="B42" s="20"/>
      <c r="C42" s="995" t="s">
        <v>73</v>
      </c>
      <c r="D42" s="996"/>
      <c r="E42" s="995" t="s">
        <v>56</v>
      </c>
      <c r="F42" s="996"/>
      <c r="G42" s="995" t="s">
        <v>74</v>
      </c>
      <c r="H42" s="996"/>
      <c r="I42" s="995"/>
      <c r="J42" s="996"/>
      <c r="K42" s="995" t="s">
        <v>75</v>
      </c>
      <c r="L42" s="996"/>
      <c r="M42" s="995"/>
      <c r="N42" s="996"/>
      <c r="O42" s="995" t="s">
        <v>76</v>
      </c>
      <c r="P42" s="996"/>
      <c r="Q42" s="995" t="s">
        <v>77</v>
      </c>
      <c r="R42" s="996"/>
      <c r="S42" s="995" t="s">
        <v>78</v>
      </c>
      <c r="T42" s="996"/>
      <c r="U42" s="65" t="s">
        <v>79</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96" ht="15" customHeight="1">
      <c r="A43" s="1153"/>
      <c r="B43" s="20" t="s">
        <v>80</v>
      </c>
      <c r="C43" s="68" t="s">
        <v>81</v>
      </c>
      <c r="D43" s="23" t="s">
        <v>82</v>
      </c>
      <c r="E43" s="68" t="s">
        <v>81</v>
      </c>
      <c r="F43" s="23" t="s">
        <v>82</v>
      </c>
      <c r="G43" s="68" t="s">
        <v>81</v>
      </c>
      <c r="H43" s="23" t="s">
        <v>82</v>
      </c>
      <c r="I43" s="68" t="s">
        <v>81</v>
      </c>
      <c r="J43" s="23" t="s">
        <v>82</v>
      </c>
      <c r="K43" s="68" t="s">
        <v>81</v>
      </c>
      <c r="L43" s="23" t="s">
        <v>82</v>
      </c>
      <c r="M43" s="68" t="s">
        <v>81</v>
      </c>
      <c r="N43" s="23" t="s">
        <v>82</v>
      </c>
      <c r="O43" s="68" t="s">
        <v>81</v>
      </c>
      <c r="P43" s="23" t="s">
        <v>82</v>
      </c>
      <c r="Q43" s="68" t="s">
        <v>81</v>
      </c>
      <c r="R43" s="23" t="s">
        <v>82</v>
      </c>
      <c r="S43" s="68" t="s">
        <v>81</v>
      </c>
      <c r="T43" s="23" t="s">
        <v>82</v>
      </c>
      <c r="U43" s="69" t="s">
        <v>81</v>
      </c>
      <c r="V43" s="21" t="s">
        <v>82</v>
      </c>
      <c r="W43" s="21" t="s">
        <v>83</v>
      </c>
    </row>
    <row r="44" spans="1:96" s="17" customFormat="1" ht="13.15">
      <c r="A44" s="602" t="s">
        <v>84</v>
      </c>
      <c r="B44" s="19" t="s">
        <v>85</v>
      </c>
      <c r="C44" s="70" t="s">
        <v>86</v>
      </c>
      <c r="D44" s="70" t="s">
        <v>87</v>
      </c>
      <c r="E44" s="70" t="s">
        <v>88</v>
      </c>
      <c r="F44" s="70" t="s">
        <v>89</v>
      </c>
      <c r="G44" s="70" t="s">
        <v>90</v>
      </c>
      <c r="H44" s="70" t="s">
        <v>91</v>
      </c>
      <c r="I44" s="70" t="s">
        <v>92</v>
      </c>
      <c r="J44" s="70" t="s">
        <v>93</v>
      </c>
      <c r="K44" s="70" t="s">
        <v>94</v>
      </c>
      <c r="L44" s="70" t="s">
        <v>95</v>
      </c>
      <c r="M44" s="70" t="s">
        <v>96</v>
      </c>
      <c r="N44" s="70" t="s">
        <v>97</v>
      </c>
      <c r="O44" s="70" t="s">
        <v>98</v>
      </c>
      <c r="P44" s="70" t="s">
        <v>99</v>
      </c>
      <c r="Q44" s="70" t="s">
        <v>100</v>
      </c>
      <c r="R44" s="70" t="s">
        <v>101</v>
      </c>
      <c r="S44" s="70" t="s">
        <v>102</v>
      </c>
      <c r="T44" s="70" t="s">
        <v>103</v>
      </c>
      <c r="U44" s="71" t="s">
        <v>104</v>
      </c>
      <c r="V44" s="71" t="s">
        <v>105</v>
      </c>
      <c r="W44" s="71" t="s">
        <v>106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9">
      <c r="A45" s="987" t="s">
        <v>141</v>
      </c>
      <c r="B45" s="988"/>
      <c r="C45" s="988"/>
      <c r="D45" s="988"/>
      <c r="E45" s="988"/>
      <c r="F45" s="988"/>
      <c r="G45" s="988"/>
      <c r="H45" s="988"/>
      <c r="I45" s="988"/>
      <c r="J45" s="988"/>
      <c r="K45" s="988"/>
      <c r="L45" s="988"/>
      <c r="M45" s="988"/>
      <c r="N45" s="988"/>
      <c r="O45" s="988"/>
      <c r="P45" s="988"/>
      <c r="Q45" s="988"/>
      <c r="R45" s="988"/>
      <c r="S45" s="988"/>
      <c r="T45" s="988"/>
      <c r="U45" s="988"/>
      <c r="V45" s="988"/>
      <c r="W45" s="98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96" ht="17.45">
      <c r="A46" s="548" t="s">
        <v>108</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96" ht="13.15">
      <c r="A47" s="37" t="s">
        <v>109</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3.15">
      <c r="A48" s="823" t="s">
        <v>110</v>
      </c>
      <c r="B48" s="34">
        <v>15</v>
      </c>
      <c r="C48" s="40"/>
      <c r="D48" s="41">
        <v>1</v>
      </c>
      <c r="E48" s="40"/>
      <c r="F48" s="41">
        <v>1</v>
      </c>
      <c r="G48" s="40"/>
      <c r="H48" s="41"/>
      <c r="I48" s="40"/>
      <c r="J48" s="41"/>
      <c r="K48" s="40">
        <v>5</v>
      </c>
      <c r="L48" s="41">
        <v>7</v>
      </c>
      <c r="M48" s="40">
        <v>9</v>
      </c>
      <c r="N48" s="41">
        <v>8</v>
      </c>
      <c r="O48" s="40"/>
      <c r="P48" s="41">
        <v>1</v>
      </c>
      <c r="Q48" s="40"/>
      <c r="R48" s="46"/>
      <c r="S48" s="40">
        <v>1</v>
      </c>
      <c r="T48" s="46">
        <v>2</v>
      </c>
      <c r="U48" s="47">
        <f>C48+E48+G48+I48+K48+M48+O48+Q48+S48</f>
        <v>15</v>
      </c>
      <c r="V48" s="42">
        <f>D48+F48+H48+J48+L48+N48+P48+R48+T48</f>
        <v>20</v>
      </c>
      <c r="W48" s="44">
        <f t="shared" ref="W48:W54" si="5">+V48+U48</f>
        <v>35</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7.25" customHeight="1">
      <c r="A49" s="824" t="s">
        <v>112</v>
      </c>
      <c r="B49" s="22" t="s">
        <v>142</v>
      </c>
      <c r="C49" s="40"/>
      <c r="D49" s="41">
        <v>2</v>
      </c>
      <c r="E49" s="40">
        <v>4</v>
      </c>
      <c r="F49" s="41">
        <v>4</v>
      </c>
      <c r="G49" s="40"/>
      <c r="H49" s="41"/>
      <c r="I49" s="40">
        <v>1</v>
      </c>
      <c r="J49" s="41"/>
      <c r="K49" s="40">
        <v>5</v>
      </c>
      <c r="L49" s="41">
        <v>8</v>
      </c>
      <c r="M49" s="40">
        <v>7</v>
      </c>
      <c r="N49" s="41">
        <v>16</v>
      </c>
      <c r="O49" s="40"/>
      <c r="P49" s="41"/>
      <c r="Q49" s="40"/>
      <c r="R49" s="46"/>
      <c r="S49" s="40"/>
      <c r="T49" s="46"/>
      <c r="U49" s="47">
        <f>C49+E49+G49+I49+K49+M49+O49+Q49+S49</f>
        <v>17</v>
      </c>
      <c r="V49" s="42">
        <f>D49+F49+H49+J49+L49+N49+P49+R49+T49</f>
        <v>30</v>
      </c>
      <c r="W49" s="44">
        <f t="shared" si="5"/>
        <v>47</v>
      </c>
      <c r="X4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7.25" customHeight="1">
      <c r="A50" s="829" t="s">
        <v>143</v>
      </c>
      <c r="B50" s="822"/>
      <c r="C50" s="826"/>
      <c r="D50" s="826"/>
      <c r="E50" s="826"/>
      <c r="F50" s="826"/>
      <c r="G50" s="826"/>
      <c r="H50" s="826"/>
      <c r="I50" s="826"/>
      <c r="J50" s="826"/>
      <c r="K50" s="826"/>
      <c r="L50" s="826"/>
      <c r="M50" s="826"/>
      <c r="N50" s="826"/>
      <c r="O50" s="826"/>
      <c r="P50" s="826"/>
      <c r="Q50" s="826"/>
      <c r="R50" s="826"/>
      <c r="S50" s="826"/>
      <c r="T50" s="826"/>
      <c r="U50" s="821"/>
      <c r="V50" s="821"/>
      <c r="W50" s="42"/>
      <c r="X50"/>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5.6">
      <c r="A51" s="825" t="s">
        <v>115</v>
      </c>
      <c r="B51" s="22" t="s">
        <v>144</v>
      </c>
      <c r="C51" s="40"/>
      <c r="D51" s="41">
        <v>1</v>
      </c>
      <c r="E51" s="40">
        <v>4</v>
      </c>
      <c r="F51" s="41">
        <v>2</v>
      </c>
      <c r="G51" s="40"/>
      <c r="H51" s="41"/>
      <c r="I51" s="40">
        <v>2</v>
      </c>
      <c r="J51" s="41">
        <v>3</v>
      </c>
      <c r="K51" s="40">
        <v>6</v>
      </c>
      <c r="L51" s="41">
        <v>21</v>
      </c>
      <c r="M51" s="40">
        <v>31</v>
      </c>
      <c r="N51" s="41">
        <v>27</v>
      </c>
      <c r="O51" s="40">
        <v>1</v>
      </c>
      <c r="P51" s="41"/>
      <c r="Q51" s="40"/>
      <c r="R51" s="46"/>
      <c r="S51" s="40">
        <v>2</v>
      </c>
      <c r="T51" s="46">
        <v>2</v>
      </c>
      <c r="U51" s="47">
        <f t="shared" ref="U51:V56" si="6">C51+E51+G51+I51+K51+M51+O51+Q51+S51</f>
        <v>46</v>
      </c>
      <c r="V51" s="42">
        <f t="shared" si="6"/>
        <v>56</v>
      </c>
      <c r="W51" s="44">
        <f t="shared" si="5"/>
        <v>102</v>
      </c>
      <c r="X51"/>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3.15">
      <c r="A52" s="825" t="s">
        <v>117</v>
      </c>
      <c r="B52" s="22" t="s">
        <v>145</v>
      </c>
      <c r="C52" s="40"/>
      <c r="D52" s="41"/>
      <c r="E52" s="40">
        <v>1</v>
      </c>
      <c r="F52" s="41">
        <v>4</v>
      </c>
      <c r="G52" s="40"/>
      <c r="H52" s="41"/>
      <c r="I52" s="40">
        <v>2</v>
      </c>
      <c r="J52" s="41">
        <v>1</v>
      </c>
      <c r="K52" s="40">
        <v>7</v>
      </c>
      <c r="L52" s="41">
        <v>14</v>
      </c>
      <c r="M52" s="40">
        <v>28</v>
      </c>
      <c r="N52" s="41">
        <v>30</v>
      </c>
      <c r="O52" s="40">
        <v>2</v>
      </c>
      <c r="P52" s="41">
        <v>1</v>
      </c>
      <c r="Q52" s="40"/>
      <c r="R52" s="46"/>
      <c r="S52" s="40">
        <v>1</v>
      </c>
      <c r="T52" s="46">
        <v>3</v>
      </c>
      <c r="U52" s="47">
        <f t="shared" si="6"/>
        <v>41</v>
      </c>
      <c r="V52" s="42">
        <f t="shared" si="6"/>
        <v>53</v>
      </c>
      <c r="W52" s="44">
        <f t="shared" si="5"/>
        <v>94</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3.15">
      <c r="A53" s="825" t="s">
        <v>119</v>
      </c>
      <c r="B53" s="22" t="s">
        <v>146</v>
      </c>
      <c r="C53" s="40">
        <v>1</v>
      </c>
      <c r="D53" s="41"/>
      <c r="E53" s="40">
        <v>11</v>
      </c>
      <c r="F53" s="41">
        <v>15</v>
      </c>
      <c r="G53" s="40"/>
      <c r="H53" s="41"/>
      <c r="I53" s="40">
        <v>10</v>
      </c>
      <c r="J53" s="41">
        <v>11</v>
      </c>
      <c r="K53" s="40">
        <v>29</v>
      </c>
      <c r="L53" s="41">
        <v>35</v>
      </c>
      <c r="M53" s="40">
        <v>87</v>
      </c>
      <c r="N53" s="41">
        <v>89</v>
      </c>
      <c r="O53" s="40">
        <v>6</v>
      </c>
      <c r="P53" s="41">
        <v>5</v>
      </c>
      <c r="Q53" s="40"/>
      <c r="R53" s="46"/>
      <c r="S53" s="40">
        <v>4</v>
      </c>
      <c r="T53" s="46">
        <v>7</v>
      </c>
      <c r="U53" s="47">
        <f t="shared" si="6"/>
        <v>148</v>
      </c>
      <c r="V53" s="42">
        <f t="shared" si="6"/>
        <v>162</v>
      </c>
      <c r="W53" s="44">
        <f t="shared" si="5"/>
        <v>310</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3.15">
      <c r="A54" s="825" t="s">
        <v>121</v>
      </c>
      <c r="B54" s="22" t="s">
        <v>147</v>
      </c>
      <c r="C54" s="40"/>
      <c r="D54" s="41"/>
      <c r="E54" s="40"/>
      <c r="F54" s="41"/>
      <c r="G54" s="40"/>
      <c r="H54" s="41"/>
      <c r="I54" s="40"/>
      <c r="J54" s="41"/>
      <c r="K54" s="40"/>
      <c r="L54" s="41"/>
      <c r="M54" s="40"/>
      <c r="N54" s="41"/>
      <c r="O54" s="40"/>
      <c r="P54" s="41"/>
      <c r="Q54" s="40"/>
      <c r="R54" s="46"/>
      <c r="S54" s="40"/>
      <c r="T54" s="46"/>
      <c r="U54" s="47">
        <f t="shared" si="6"/>
        <v>0</v>
      </c>
      <c r="V54" s="42">
        <f t="shared" si="6"/>
        <v>0</v>
      </c>
      <c r="W54" s="44">
        <f t="shared" si="5"/>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45">
      <c r="A55" s="547" t="s">
        <v>123</v>
      </c>
      <c r="B55" s="22" t="s">
        <v>148</v>
      </c>
      <c r="C55" s="40"/>
      <c r="D55" s="41"/>
      <c r="E55" s="40">
        <v>2</v>
      </c>
      <c r="F55" s="41">
        <v>3</v>
      </c>
      <c r="G55" s="40"/>
      <c r="H55" s="41"/>
      <c r="I55" s="40">
        <v>4</v>
      </c>
      <c r="J55" s="41">
        <v>2</v>
      </c>
      <c r="K55" s="40">
        <v>10</v>
      </c>
      <c r="L55" s="41">
        <v>20</v>
      </c>
      <c r="M55" s="40">
        <v>31</v>
      </c>
      <c r="N55" s="41">
        <v>16</v>
      </c>
      <c r="O55" s="40">
        <v>22</v>
      </c>
      <c r="P55" s="41">
        <v>34</v>
      </c>
      <c r="Q55" s="40"/>
      <c r="R55" s="46"/>
      <c r="S55" s="40"/>
      <c r="T55" s="46"/>
      <c r="U55" s="47">
        <f t="shared" si="6"/>
        <v>69</v>
      </c>
      <c r="V55" s="42">
        <f t="shared" si="6"/>
        <v>75</v>
      </c>
      <c r="W55" s="49">
        <f>+V55+U55</f>
        <v>144</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40.15" thickBot="1">
      <c r="A56" s="550" t="s">
        <v>149</v>
      </c>
      <c r="B56" s="551" t="s">
        <v>150</v>
      </c>
      <c r="C56" s="560">
        <f t="shared" ref="C56:P56" si="7">SUM(C48:C55)</f>
        <v>1</v>
      </c>
      <c r="D56" s="560">
        <f t="shared" si="7"/>
        <v>4</v>
      </c>
      <c r="E56" s="560">
        <f t="shared" si="7"/>
        <v>22</v>
      </c>
      <c r="F56" s="560">
        <f t="shared" si="7"/>
        <v>29</v>
      </c>
      <c r="G56" s="560">
        <f t="shared" si="7"/>
        <v>0</v>
      </c>
      <c r="H56" s="560">
        <f t="shared" si="7"/>
        <v>0</v>
      </c>
      <c r="I56" s="560">
        <f t="shared" si="7"/>
        <v>19</v>
      </c>
      <c r="J56" s="560">
        <f t="shared" si="7"/>
        <v>17</v>
      </c>
      <c r="K56" s="560">
        <f t="shared" si="7"/>
        <v>62</v>
      </c>
      <c r="L56" s="560">
        <f t="shared" si="7"/>
        <v>105</v>
      </c>
      <c r="M56" s="560">
        <f t="shared" si="7"/>
        <v>193</v>
      </c>
      <c r="N56" s="560">
        <f t="shared" si="7"/>
        <v>186</v>
      </c>
      <c r="O56" s="560">
        <f t="shared" si="7"/>
        <v>31</v>
      </c>
      <c r="P56" s="560">
        <f t="shared" si="7"/>
        <v>41</v>
      </c>
      <c r="Q56" s="560">
        <f>SUM(Q48:Q55)</f>
        <v>0</v>
      </c>
      <c r="R56" s="560">
        <f>SUM(R48:R55)</f>
        <v>0</v>
      </c>
      <c r="S56" s="560">
        <f>SUM(S48:S55)</f>
        <v>8</v>
      </c>
      <c r="T56" s="560">
        <f>SUM(T48:T55)</f>
        <v>14</v>
      </c>
      <c r="U56" s="552">
        <f t="shared" si="6"/>
        <v>336</v>
      </c>
      <c r="V56" s="552">
        <f t="shared" si="6"/>
        <v>396</v>
      </c>
      <c r="W56" s="553">
        <f>+V56+U56</f>
        <v>732</v>
      </c>
      <c r="X56" s="608"/>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96" ht="21.75" hidden="1" customHeight="1" thickTop="1">
      <c r="A57" s="548" t="s">
        <v>127</v>
      </c>
      <c r="B57" s="239"/>
      <c r="C57" s="549"/>
      <c r="D57" s="549"/>
      <c r="E57" s="549"/>
      <c r="F57" s="549"/>
      <c r="G57" s="549"/>
      <c r="H57" s="549"/>
      <c r="I57" s="549"/>
      <c r="J57" s="549"/>
      <c r="K57" s="549"/>
      <c r="L57" s="549"/>
      <c r="M57" s="549"/>
      <c r="N57" s="549"/>
      <c r="O57" s="549"/>
      <c r="P57" s="549"/>
      <c r="Q57" s="549"/>
      <c r="R57" s="549"/>
      <c r="S57" s="549"/>
      <c r="T57" s="549"/>
      <c r="U57" s="371"/>
      <c r="V57" s="371"/>
      <c r="W57" s="484"/>
      <c r="X57" s="609"/>
    </row>
    <row r="58" spans="1:96" s="17" customFormat="1" ht="13.15" hidden="1">
      <c r="A58" s="38" t="s">
        <v>128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9" hidden="1" thickBot="1">
      <c r="A59" s="604" t="s">
        <v>130</v>
      </c>
      <c r="B59" s="605">
        <v>24</v>
      </c>
      <c r="C59" s="610"/>
      <c r="D59" s="611"/>
      <c r="E59" s="610"/>
      <c r="F59" s="611"/>
      <c r="G59" s="610"/>
      <c r="H59" s="611"/>
      <c r="I59" s="610"/>
      <c r="J59" s="611"/>
      <c r="K59" s="610"/>
      <c r="L59" s="611"/>
      <c r="M59" s="610"/>
      <c r="N59" s="611"/>
      <c r="O59" s="610"/>
      <c r="P59" s="611"/>
      <c r="Q59" s="611"/>
      <c r="R59" s="611"/>
      <c r="S59" s="611"/>
      <c r="T59" s="611"/>
      <c r="U59" s="297">
        <f>C59+E59+G59+I59+K59+M59+O59</f>
        <v>0</v>
      </c>
      <c r="V59" s="297">
        <f>D59+F59+H59+J59+L59+N59+P59</f>
        <v>0</v>
      </c>
      <c r="W59" s="297">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96" ht="18" thickTop="1">
      <c r="A60" s="548" t="s">
        <v>132</v>
      </c>
      <c r="B60" s="239"/>
      <c r="C60" s="549"/>
      <c r="D60" s="549"/>
      <c r="E60" s="549"/>
      <c r="F60" s="549"/>
      <c r="G60" s="549"/>
      <c r="H60" s="549"/>
      <c r="I60" s="549"/>
      <c r="J60" s="549"/>
      <c r="K60" s="549"/>
      <c r="L60" s="549"/>
      <c r="M60" s="549"/>
      <c r="N60" s="549"/>
      <c r="O60" s="549"/>
      <c r="P60" s="549"/>
      <c r="Q60" s="549"/>
      <c r="R60" s="549"/>
      <c r="S60" s="549"/>
      <c r="T60" s="549"/>
      <c r="U60" s="371"/>
      <c r="V60" s="371"/>
      <c r="W60" s="485"/>
    </row>
    <row r="61" spans="1:96" ht="13.15">
      <c r="A61" s="37" t="s">
        <v>133</v>
      </c>
      <c r="B61" s="242" t="s">
        <v>61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3.15">
      <c r="A62" s="538" t="s">
        <v>134</v>
      </c>
      <c r="B62" s="22" t="s">
        <v>151</v>
      </c>
      <c r="C62" s="40"/>
      <c r="D62" s="41"/>
      <c r="E62" s="40">
        <v>2</v>
      </c>
      <c r="F62" s="41">
        <v>11</v>
      </c>
      <c r="G62" s="40"/>
      <c r="H62" s="41"/>
      <c r="I62" s="40">
        <v>1</v>
      </c>
      <c r="J62" s="41">
        <v>2</v>
      </c>
      <c r="K62" s="40">
        <v>6</v>
      </c>
      <c r="L62" s="41">
        <v>11</v>
      </c>
      <c r="M62" s="40">
        <v>18</v>
      </c>
      <c r="N62" s="41">
        <v>62</v>
      </c>
      <c r="O62" s="40">
        <v>2</v>
      </c>
      <c r="P62" s="41">
        <v>8</v>
      </c>
      <c r="Q62" s="40"/>
      <c r="R62" s="46"/>
      <c r="S62" s="40"/>
      <c r="T62" s="46">
        <v>1</v>
      </c>
      <c r="U62" s="47">
        <f t="shared" ref="U62:V65" si="8">C62+E62+G62+I62+K62+M62+O62+Q62+S62</f>
        <v>29</v>
      </c>
      <c r="V62" s="42">
        <f t="shared" si="8"/>
        <v>95</v>
      </c>
      <c r="W62" s="44">
        <f>+V62+U62</f>
        <v>124</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3.15">
      <c r="A63" s="538" t="s">
        <v>136</v>
      </c>
      <c r="B63" s="34" t="s">
        <v>152</v>
      </c>
      <c r="C63" s="40"/>
      <c r="D63" s="41">
        <v>6</v>
      </c>
      <c r="E63" s="40">
        <v>3</v>
      </c>
      <c r="F63" s="41">
        <v>32</v>
      </c>
      <c r="G63" s="40"/>
      <c r="H63" s="41">
        <v>1</v>
      </c>
      <c r="I63" s="40">
        <v>1</v>
      </c>
      <c r="J63" s="41">
        <v>9</v>
      </c>
      <c r="K63" s="40">
        <v>9</v>
      </c>
      <c r="L63" s="41">
        <v>34</v>
      </c>
      <c r="M63" s="40">
        <v>66</v>
      </c>
      <c r="N63" s="41">
        <v>192</v>
      </c>
      <c r="O63" s="40">
        <v>3</v>
      </c>
      <c r="P63" s="41">
        <v>17</v>
      </c>
      <c r="Q63" s="40"/>
      <c r="R63" s="46"/>
      <c r="S63" s="40">
        <v>2</v>
      </c>
      <c r="T63" s="46">
        <v>3</v>
      </c>
      <c r="U63" s="47">
        <f t="shared" si="8"/>
        <v>84</v>
      </c>
      <c r="V63" s="42">
        <f t="shared" si="8"/>
        <v>294</v>
      </c>
      <c r="W63" s="44">
        <f>+V63+U63</f>
        <v>378</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39.6">
      <c r="A64" s="547" t="s">
        <v>137</v>
      </c>
      <c r="B64" s="22" t="s">
        <v>153</v>
      </c>
      <c r="C64" s="40"/>
      <c r="D64" s="41"/>
      <c r="E64" s="40"/>
      <c r="F64" s="41"/>
      <c r="G64" s="40"/>
      <c r="H64" s="41">
        <v>1</v>
      </c>
      <c r="I64" s="40">
        <v>1</v>
      </c>
      <c r="J64" s="41">
        <v>2</v>
      </c>
      <c r="K64" s="40"/>
      <c r="L64" s="41">
        <v>2</v>
      </c>
      <c r="M64" s="40">
        <v>16</v>
      </c>
      <c r="N64" s="41">
        <v>13</v>
      </c>
      <c r="O64" s="40">
        <v>7</v>
      </c>
      <c r="P64" s="41">
        <v>4</v>
      </c>
      <c r="Q64" s="40"/>
      <c r="R64" s="46"/>
      <c r="S64" s="40"/>
      <c r="T64" s="46">
        <v>1</v>
      </c>
      <c r="U64" s="47">
        <f t="shared" si="8"/>
        <v>24</v>
      </c>
      <c r="V64" s="42">
        <f t="shared" si="8"/>
        <v>23</v>
      </c>
      <c r="W64" s="49">
        <f>U64+V64</f>
        <v>47</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7" t="s">
        <v>154</v>
      </c>
      <c r="B65" s="931" t="s">
        <v>155</v>
      </c>
      <c r="C65" s="299">
        <f>SUM(C62:C64)</f>
        <v>0</v>
      </c>
      <c r="D65" s="299">
        <f t="shared" ref="D65:P65" si="9">SUM(D62:D64)</f>
        <v>6</v>
      </c>
      <c r="E65" s="299">
        <f t="shared" si="9"/>
        <v>5</v>
      </c>
      <c r="F65" s="299">
        <f t="shared" si="9"/>
        <v>43</v>
      </c>
      <c r="G65" s="299">
        <f t="shared" si="9"/>
        <v>0</v>
      </c>
      <c r="H65" s="299">
        <f t="shared" si="9"/>
        <v>2</v>
      </c>
      <c r="I65" s="299">
        <f t="shared" si="9"/>
        <v>3</v>
      </c>
      <c r="J65" s="299">
        <f t="shared" si="9"/>
        <v>13</v>
      </c>
      <c r="K65" s="299">
        <f t="shared" si="9"/>
        <v>15</v>
      </c>
      <c r="L65" s="299">
        <f t="shared" si="9"/>
        <v>47</v>
      </c>
      <c r="M65" s="299">
        <f t="shared" si="9"/>
        <v>100</v>
      </c>
      <c r="N65" s="299">
        <f t="shared" si="9"/>
        <v>267</v>
      </c>
      <c r="O65" s="299">
        <f t="shared" si="9"/>
        <v>12</v>
      </c>
      <c r="P65" s="299">
        <f t="shared" si="9"/>
        <v>29</v>
      </c>
      <c r="Q65" s="299">
        <f>SUM(Q62:Q64)</f>
        <v>0</v>
      </c>
      <c r="R65" s="299">
        <f>SUM(R62:R64)</f>
        <v>0</v>
      </c>
      <c r="S65" s="299">
        <f>SUM(S62:S64)</f>
        <v>2</v>
      </c>
      <c r="T65" s="299">
        <f>SUM(T62:T64)</f>
        <v>5</v>
      </c>
      <c r="U65" s="47">
        <f t="shared" si="8"/>
        <v>137</v>
      </c>
      <c r="V65" s="47">
        <f t="shared" si="8"/>
        <v>412</v>
      </c>
      <c r="W65" s="618">
        <f>U65+V65</f>
        <v>549</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96" s="29" customFormat="1" ht="32.25" customHeight="1" thickTop="1">
      <c r="A66" s="554" t="s">
        <v>156</v>
      </c>
      <c r="B66" s="839" t="s">
        <v>157</v>
      </c>
      <c r="C66" s="47">
        <f t="shared" ref="C66:V66" si="10">C65+C56+C35+C26</f>
        <v>4</v>
      </c>
      <c r="D66" s="47">
        <f t="shared" si="10"/>
        <v>15</v>
      </c>
      <c r="E66" s="47">
        <f t="shared" si="10"/>
        <v>194</v>
      </c>
      <c r="F66" s="47">
        <f t="shared" si="10"/>
        <v>215</v>
      </c>
      <c r="G66" s="47">
        <f t="shared" si="10"/>
        <v>2</v>
      </c>
      <c r="H66" s="47">
        <f t="shared" si="10"/>
        <v>11</v>
      </c>
      <c r="I66" s="47">
        <f t="shared" si="10"/>
        <v>99</v>
      </c>
      <c r="J66" s="47">
        <f t="shared" si="10"/>
        <v>120</v>
      </c>
      <c r="K66" s="47">
        <f t="shared" si="10"/>
        <v>441</v>
      </c>
      <c r="L66" s="47">
        <f t="shared" si="10"/>
        <v>675</v>
      </c>
      <c r="M66" s="47">
        <f t="shared" si="10"/>
        <v>1241</v>
      </c>
      <c r="N66" s="47">
        <f t="shared" si="10"/>
        <v>1423</v>
      </c>
      <c r="O66" s="47">
        <f t="shared" si="10"/>
        <v>67</v>
      </c>
      <c r="P66" s="47">
        <f t="shared" si="10"/>
        <v>101</v>
      </c>
      <c r="Q66" s="47">
        <f>Q65+Q56+Q35+Q26</f>
        <v>0</v>
      </c>
      <c r="R66" s="47">
        <f>R65+R56+R35+R26</f>
        <v>1</v>
      </c>
      <c r="S66" s="47">
        <f>S65+S56+S35+S26</f>
        <v>99</v>
      </c>
      <c r="T66" s="47">
        <f>T65+T56+T35+T26</f>
        <v>94</v>
      </c>
      <c r="U66" s="556">
        <f t="shared" si="10"/>
        <v>2147</v>
      </c>
      <c r="V66" s="556">
        <f t="shared" si="10"/>
        <v>2655</v>
      </c>
      <c r="W66" s="557">
        <f>U66+V66</f>
        <v>4802</v>
      </c>
      <c r="X66" s="39"/>
    </row>
    <row r="67" spans="1:96" ht="24.75" customHeight="1"/>
    <row r="68" spans="1:96" ht="13.15">
      <c r="P68" s="539"/>
      <c r="Q68" s="940"/>
      <c r="R68" s="940"/>
      <c r="S68" s="940"/>
      <c r="T68" s="940"/>
      <c r="U68" s="540" t="s">
        <v>158</v>
      </c>
      <c r="V68" s="540" t="s">
        <v>159</v>
      </c>
      <c r="W68" s="543" t="s">
        <v>160</v>
      </c>
    </row>
    <row r="69" spans="1:96" ht="13.15">
      <c r="P69" s="541" t="s">
        <v>161</v>
      </c>
      <c r="Q69" s="641"/>
      <c r="R69" s="641"/>
      <c r="S69" s="641"/>
      <c r="T69" s="641"/>
      <c r="U69" s="542">
        <f>W26</f>
        <v>3440</v>
      </c>
      <c r="V69" s="542">
        <f>W56</f>
        <v>732</v>
      </c>
      <c r="W69" s="558">
        <f>U69+V69</f>
        <v>4172</v>
      </c>
    </row>
    <row r="70" spans="1:96" ht="13.15">
      <c r="P70" s="541" t="s">
        <v>162</v>
      </c>
      <c r="Q70" s="641"/>
      <c r="R70" s="641"/>
      <c r="S70" s="641"/>
      <c r="T70" s="641"/>
      <c r="U70" s="542">
        <f>W35</f>
        <v>81</v>
      </c>
      <c r="V70" s="542">
        <f>W65</f>
        <v>549</v>
      </c>
      <c r="W70" s="558">
        <f>U70+V70</f>
        <v>630</v>
      </c>
    </row>
    <row r="71" spans="1:96" ht="13.15" hidden="1">
      <c r="P71" s="541" t="s">
        <v>163</v>
      </c>
      <c r="Q71" s="641"/>
      <c r="R71" s="641"/>
      <c r="S71" s="641"/>
      <c r="T71" s="641"/>
      <c r="U71" s="542">
        <f>W28+W29</f>
        <v>0</v>
      </c>
      <c r="V71" s="542">
        <f>W58+W59</f>
        <v>0</v>
      </c>
      <c r="W71" s="558">
        <f>U71+V71</f>
        <v>0</v>
      </c>
    </row>
    <row r="72" spans="1:96" ht="13.15">
      <c r="P72" s="544" t="s">
        <v>160</v>
      </c>
      <c r="Q72" s="941"/>
      <c r="R72" s="941"/>
      <c r="S72" s="941"/>
      <c r="T72" s="941"/>
      <c r="U72" s="545">
        <f>SUM(U69:U71)</f>
        <v>3521</v>
      </c>
      <c r="V72" s="545">
        <f>SUM(V69:V71)</f>
        <v>1281</v>
      </c>
      <c r="W72" s="559">
        <f>SUM(W69:W71)</f>
        <v>4802</v>
      </c>
    </row>
    <row r="76" spans="1:96">
      <c r="C76" s="827"/>
    </row>
    <row r="77" spans="1:96">
      <c r="C77" s="827"/>
    </row>
    <row r="78" spans="1:96">
      <c r="C78" s="827"/>
    </row>
    <row r="79" spans="1:96">
      <c r="C79" s="828"/>
    </row>
    <row r="90" spans="1:1">
      <c r="A90" s="725" t="str">
        <f>"FALL "&amp;A91</f>
        <v>FALL 2021</v>
      </c>
    </row>
    <row r="91" spans="1:1">
      <c r="A91" s="725" t="str">
        <f>RIGHT(A1,4)</f>
        <v>2021</v>
      </c>
    </row>
    <row r="92" spans="1:1">
      <c r="A92" s="725" t="str">
        <f>"Fall "&amp;A91</f>
        <v>Fall 2021</v>
      </c>
    </row>
    <row r="93" spans="1:1">
      <c r="A93" s="250">
        <f>+A91+1</f>
        <v>2022</v>
      </c>
    </row>
    <row r="94" spans="1:1">
      <c r="A94" s="725" t="str">
        <f>+RIGHT(A91,2)&amp;RIGHT(A93,2)</f>
        <v>2122</v>
      </c>
    </row>
  </sheetData>
  <mergeCells count="61">
    <mergeCell ref="C42:D42"/>
    <mergeCell ref="E42:F42"/>
    <mergeCell ref="G42:H42"/>
    <mergeCell ref="I42:J42"/>
    <mergeCell ref="S42:T42"/>
    <mergeCell ref="K42:L42"/>
    <mergeCell ref="M42:N42"/>
    <mergeCell ref="O42:P42"/>
    <mergeCell ref="Q42:R42"/>
    <mergeCell ref="M40:N40"/>
    <mergeCell ref="O40:P40"/>
    <mergeCell ref="Q40:R40"/>
    <mergeCell ref="S40:T40"/>
    <mergeCell ref="C41:D41"/>
    <mergeCell ref="E41:F41"/>
    <mergeCell ref="G41:H41"/>
    <mergeCell ref="I41:J41"/>
    <mergeCell ref="K41:L41"/>
    <mergeCell ref="M41:N41"/>
    <mergeCell ref="O41:P41"/>
    <mergeCell ref="Q41:R41"/>
    <mergeCell ref="S41:T41"/>
    <mergeCell ref="C40:D40"/>
    <mergeCell ref="E40:F40"/>
    <mergeCell ref="G40:H40"/>
    <mergeCell ref="I40:J40"/>
    <mergeCell ref="K40:L40"/>
    <mergeCell ref="M11:N11"/>
    <mergeCell ref="O11:P11"/>
    <mergeCell ref="Q11:R11"/>
    <mergeCell ref="S11:T11"/>
    <mergeCell ref="C12:D12"/>
    <mergeCell ref="E12:F12"/>
    <mergeCell ref="G12:H12"/>
    <mergeCell ref="I12:J12"/>
    <mergeCell ref="K12:L12"/>
    <mergeCell ref="M12:N12"/>
    <mergeCell ref="O12:P12"/>
    <mergeCell ref="Q12:R12"/>
    <mergeCell ref="S12:T12"/>
    <mergeCell ref="C11:D11"/>
    <mergeCell ref="E11:F11"/>
    <mergeCell ref="G11:H11"/>
    <mergeCell ref="I11:J11"/>
    <mergeCell ref="K11:L1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s>
  <phoneticPr fontId="54" type="noConversion"/>
  <printOptions headings="1"/>
  <pageMargins left="0.47" right="0.35" top="0.48" bottom="0.38" header="0" footer="0.25"/>
  <pageSetup scale="81" fitToHeight="2" orientation="landscape" horizontalDpi="4294967292" verticalDpi="300" r:id="rId1"/>
  <headerFooter alignWithMargins="0">
    <oddFooter>Page &amp;P of &amp;N</oddFooter>
  </headerFooter>
  <rowBreaks count="1" manualBreakCount="1">
    <brk id="35" max="19" man="1"/>
  </rowBreaks>
  <ignoredErrors>
    <ignoredError sqref="B34:B35 B18:B19 B21:B32" numberStoredAsText="1"/>
    <ignoredError sqref="A37:B37"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K135"/>
  <sheetViews>
    <sheetView showZeros="0" defaultGridColor="0" colorId="8" zoomScaleNormal="100" workbookViewId="0">
      <selection activeCell="F23" sqref="F23"/>
    </sheetView>
  </sheetViews>
  <sheetFormatPr defaultColWidth="0" defaultRowHeight="15.95" customHeight="1"/>
  <cols>
    <col min="1" max="1" width="2.125" style="404" customWidth="1"/>
    <col min="2" max="2" width="20.25" style="404" customWidth="1"/>
    <col min="3" max="8" width="7.625" style="404" customWidth="1"/>
    <col min="9" max="9" width="3.625" style="404" customWidth="1"/>
    <col min="10" max="16384" width="0" style="404" hidden="1"/>
  </cols>
  <sheetData>
    <row r="1" spans="1:11" s="400" customFormat="1" ht="22.9">
      <c r="A1" s="1095" t="str">
        <f>"RESIDENCE SURVEY: "&amp;'99'!A90</f>
        <v>RESIDENCE SURVEY: FALL 2021</v>
      </c>
      <c r="B1" s="1095"/>
      <c r="C1" s="1095"/>
      <c r="D1" s="1095"/>
      <c r="E1" s="1095"/>
      <c r="F1" s="1095"/>
      <c r="G1" s="1095"/>
      <c r="H1" s="1095"/>
      <c r="I1" s="612">
        <f>IF(COUNT(C10:F11,C21:F22,C32:F33)&gt;0,1,0)</f>
        <v>1</v>
      </c>
    </row>
    <row r="2" spans="1:11" s="400" customFormat="1" ht="10.5" customHeight="1">
      <c r="A2" s="599" t="str">
        <f>'99'!A2</f>
        <v>2122</v>
      </c>
      <c r="B2" s="525"/>
      <c r="C2" s="525"/>
      <c r="D2" s="525"/>
      <c r="E2" s="525"/>
      <c r="F2" s="525"/>
      <c r="G2" s="525"/>
      <c r="H2" s="525"/>
      <c r="I2" s="612">
        <f>COUNTIF(C16:H16,"=ERROR")+COUNTIF(C27:H27,"=ERROR")+COUNTIF(C38:H38,"=ERROR")</f>
        <v>0</v>
      </c>
    </row>
    <row r="3" spans="1:11" s="400" customFormat="1" ht="15.95" customHeight="1" thickBot="1">
      <c r="A3" s="30" t="str">
        <f>'99'!A3</f>
        <v>Western Connecticut State University</v>
      </c>
      <c r="B3" s="385"/>
      <c r="C3" s="593" t="s">
        <v>61</v>
      </c>
      <c r="D3" s="74"/>
      <c r="E3" s="72"/>
      <c r="F3" s="196" t="s">
        <v>195</v>
      </c>
      <c r="G3" s="78" t="str">
        <f>'99'!N3</f>
        <v>Jerry Wilcox</v>
      </c>
      <c r="H3" s="79"/>
      <c r="I3" s="525"/>
      <c r="J3" s="402"/>
      <c r="K3" s="401"/>
    </row>
    <row r="4" spans="1:11" s="400" customFormat="1" ht="15.95" customHeight="1" thickBot="1">
      <c r="A4" s="1094">
        <f>'99'!A4</f>
        <v>130776</v>
      </c>
      <c r="B4" s="1180"/>
      <c r="C4" s="593"/>
      <c r="D4" s="74"/>
      <c r="E4" s="526"/>
      <c r="F4" s="196" t="s">
        <v>196</v>
      </c>
      <c r="G4" s="78" t="str">
        <f>'99'!N4</f>
        <v>Director, Institutional Research and Assessment</v>
      </c>
      <c r="H4" s="79"/>
      <c r="I4" s="525"/>
      <c r="J4" s="402"/>
      <c r="K4" s="401"/>
    </row>
    <row r="5" spans="1:11" s="400" customFormat="1" ht="15.95" customHeight="1" thickBot="1">
      <c r="A5" s="388" t="str">
        <f>'99'!A5</f>
        <v>Danbury</v>
      </c>
      <c r="B5" s="385"/>
      <c r="C5" s="593"/>
      <c r="D5" s="74"/>
      <c r="E5" s="526"/>
      <c r="F5" s="196" t="s">
        <v>197</v>
      </c>
      <c r="G5" s="1041" t="str">
        <f>'99'!N5</f>
        <v>203-837-8242</v>
      </c>
      <c r="H5" s="1181"/>
      <c r="I5" s="525"/>
      <c r="J5" s="402"/>
      <c r="K5" s="401"/>
    </row>
    <row r="6" spans="1:11" s="400" customFormat="1" ht="13.5" customHeight="1" thickBot="1">
      <c r="A6" s="525"/>
      <c r="B6" s="403"/>
      <c r="C6" s="594"/>
      <c r="D6" s="525"/>
      <c r="E6" s="525"/>
      <c r="F6" s="527"/>
      <c r="G6" s="525"/>
      <c r="H6" s="525"/>
      <c r="I6" s="525"/>
    </row>
    <row r="7" spans="1:11" ht="21.75" customHeight="1" thickTop="1" thickBot="1">
      <c r="A7" s="193"/>
      <c r="B7" s="595" t="s">
        <v>378</v>
      </c>
      <c r="C7" s="596"/>
      <c r="D7" s="596"/>
      <c r="E7" s="596"/>
      <c r="F7" s="596"/>
      <c r="G7" s="596"/>
      <c r="H7" s="597"/>
      <c r="I7" s="193"/>
    </row>
    <row r="8" spans="1:11" ht="13.9" thickTop="1">
      <c r="A8" s="193"/>
      <c r="B8" s="405"/>
      <c r="C8" s="406" t="s">
        <v>379</v>
      </c>
      <c r="D8" s="407"/>
      <c r="E8" s="406" t="s">
        <v>380</v>
      </c>
      <c r="F8" s="407"/>
      <c r="G8" s="406" t="s">
        <v>83</v>
      </c>
      <c r="H8" s="407"/>
      <c r="I8" s="193"/>
    </row>
    <row r="9" spans="1:11" ht="15.95" customHeight="1">
      <c r="A9" s="193"/>
      <c r="B9" s="408" t="s">
        <v>381</v>
      </c>
      <c r="C9" s="409" t="s">
        <v>81</v>
      </c>
      <c r="D9" s="410" t="s">
        <v>82</v>
      </c>
      <c r="E9" s="409" t="s">
        <v>81</v>
      </c>
      <c r="F9" s="410" t="s">
        <v>82</v>
      </c>
      <c r="G9" s="589" t="s">
        <v>81</v>
      </c>
      <c r="H9" s="590" t="s">
        <v>82</v>
      </c>
      <c r="I9" s="193"/>
    </row>
    <row r="10" spans="1:11" ht="15.95" customHeight="1">
      <c r="A10" s="193"/>
      <c r="B10" s="386" t="s">
        <v>245</v>
      </c>
      <c r="C10" s="390">
        <v>1195</v>
      </c>
      <c r="D10" s="391">
        <v>1387</v>
      </c>
      <c r="E10" s="390">
        <v>272</v>
      </c>
      <c r="F10" s="391">
        <v>362</v>
      </c>
      <c r="G10" s="591">
        <f t="shared" ref="G10:H13" si="0">C10+E10</f>
        <v>1467</v>
      </c>
      <c r="H10" s="592">
        <f t="shared" si="0"/>
        <v>1749</v>
      </c>
      <c r="I10" s="193"/>
    </row>
    <row r="11" spans="1:11" ht="15.95" customHeight="1">
      <c r="A11" s="193"/>
      <c r="B11" s="386" t="s">
        <v>382</v>
      </c>
      <c r="C11" s="390">
        <v>453</v>
      </c>
      <c r="D11" s="391">
        <v>399</v>
      </c>
      <c r="E11" s="390">
        <v>63</v>
      </c>
      <c r="F11" s="391">
        <v>30</v>
      </c>
      <c r="G11" s="591">
        <f t="shared" si="0"/>
        <v>516</v>
      </c>
      <c r="H11" s="592">
        <f t="shared" si="0"/>
        <v>429</v>
      </c>
      <c r="I11" s="193"/>
    </row>
    <row r="12" spans="1:11" ht="15.95" customHeight="1" thickBot="1">
      <c r="A12" s="193"/>
      <c r="B12" s="386" t="s">
        <v>383</v>
      </c>
      <c r="C12" s="487">
        <f>+'99'!C26</f>
        <v>3</v>
      </c>
      <c r="D12" s="488">
        <f>+'99'!D26</f>
        <v>3</v>
      </c>
      <c r="E12" s="487">
        <f>+'99'!C56</f>
        <v>1</v>
      </c>
      <c r="F12" s="487">
        <f>+'99'!D56</f>
        <v>4</v>
      </c>
      <c r="G12" s="591">
        <f t="shared" si="0"/>
        <v>4</v>
      </c>
      <c r="H12" s="592">
        <f t="shared" si="0"/>
        <v>7</v>
      </c>
      <c r="I12" s="193"/>
    </row>
    <row r="13" spans="1:11" ht="15.95" customHeight="1" thickBot="1">
      <c r="A13" s="193"/>
      <c r="B13" s="585" t="s">
        <v>300</v>
      </c>
      <c r="C13" s="586">
        <f>SUM(C10:C12)</f>
        <v>1651</v>
      </c>
      <c r="D13" s="586">
        <f>SUM(D10:D12)</f>
        <v>1789</v>
      </c>
      <c r="E13" s="586">
        <f>SUM(E10:E12)</f>
        <v>336</v>
      </c>
      <c r="F13" s="586">
        <f>SUM(F10:F12)</f>
        <v>396</v>
      </c>
      <c r="G13" s="587">
        <f t="shared" si="0"/>
        <v>1987</v>
      </c>
      <c r="H13" s="588">
        <f t="shared" si="0"/>
        <v>2185</v>
      </c>
      <c r="I13" s="193"/>
    </row>
    <row r="14" spans="1:11" ht="15.95" customHeight="1">
      <c r="A14" s="193"/>
      <c r="B14" s="411" t="s">
        <v>384</v>
      </c>
      <c r="C14" s="412"/>
      <c r="D14" s="412"/>
      <c r="E14" s="412"/>
      <c r="F14" s="412"/>
      <c r="G14" s="412"/>
      <c r="H14" s="413"/>
      <c r="I14" s="193"/>
    </row>
    <row r="15" spans="1:11" ht="15.95" customHeight="1">
      <c r="A15" s="193"/>
      <c r="B15" s="386" t="s">
        <v>385</v>
      </c>
      <c r="C15" s="397">
        <f>'99'!U26</f>
        <v>1651</v>
      </c>
      <c r="D15" s="397">
        <f>'99'!V26</f>
        <v>1789</v>
      </c>
      <c r="E15" s="397">
        <f>'99'!U56</f>
        <v>336</v>
      </c>
      <c r="F15" s="397">
        <f>'99'!V56</f>
        <v>396</v>
      </c>
      <c r="G15" s="397">
        <f>C15+E15</f>
        <v>1987</v>
      </c>
      <c r="H15" s="393">
        <f>D15+F15</f>
        <v>2185</v>
      </c>
      <c r="I15" s="193"/>
    </row>
    <row r="16" spans="1:11" ht="21.75" customHeight="1" thickBot="1">
      <c r="A16" s="193"/>
      <c r="B16" s="414" t="s">
        <v>386</v>
      </c>
      <c r="C16" s="600" t="str">
        <f t="shared" ref="C16:H16" si="1">IF($I$1=0,"",IF(C15=C13,"OK","ERROR"))</f>
        <v>OK</v>
      </c>
      <c r="D16" s="600" t="str">
        <f t="shared" si="1"/>
        <v>OK</v>
      </c>
      <c r="E16" s="600" t="str">
        <f t="shared" si="1"/>
        <v>OK</v>
      </c>
      <c r="F16" s="600" t="str">
        <f t="shared" si="1"/>
        <v>OK</v>
      </c>
      <c r="G16" s="600" t="str">
        <f t="shared" si="1"/>
        <v>OK</v>
      </c>
      <c r="H16" s="600" t="str">
        <f t="shared" si="1"/>
        <v>OK</v>
      </c>
      <c r="I16" s="193"/>
    </row>
    <row r="17" spans="1:9" ht="30.75" customHeight="1" thickBot="1">
      <c r="A17" s="193"/>
      <c r="B17" s="528"/>
      <c r="C17" s="529"/>
      <c r="D17" s="529"/>
      <c r="E17" s="529"/>
      <c r="F17" s="529"/>
      <c r="G17" s="529"/>
      <c r="H17" s="529"/>
      <c r="I17" s="193"/>
    </row>
    <row r="18" spans="1:9" ht="42" thickTop="1" thickBot="1">
      <c r="A18" s="193"/>
      <c r="B18" s="598" t="s">
        <v>387</v>
      </c>
      <c r="C18" s="596"/>
      <c r="D18" s="596"/>
      <c r="E18" s="596"/>
      <c r="F18" s="596"/>
      <c r="G18" s="596"/>
      <c r="H18" s="597"/>
      <c r="I18" s="193"/>
    </row>
    <row r="19" spans="1:9" ht="13.9" thickTop="1">
      <c r="A19" s="193"/>
      <c r="B19" s="405"/>
      <c r="C19" s="406" t="s">
        <v>379</v>
      </c>
      <c r="D19" s="407"/>
      <c r="E19" s="406" t="s">
        <v>380</v>
      </c>
      <c r="F19" s="407"/>
      <c r="G19" s="406" t="s">
        <v>83</v>
      </c>
      <c r="H19" s="407"/>
      <c r="I19" s="193"/>
    </row>
    <row r="20" spans="1:9" ht="15.95" customHeight="1">
      <c r="A20" s="193"/>
      <c r="B20" s="408" t="s">
        <v>381</v>
      </c>
      <c r="C20" s="409" t="s">
        <v>81</v>
      </c>
      <c r="D20" s="410" t="s">
        <v>82</v>
      </c>
      <c r="E20" s="409" t="s">
        <v>81</v>
      </c>
      <c r="F20" s="410" t="s">
        <v>82</v>
      </c>
      <c r="G20" s="409" t="s">
        <v>81</v>
      </c>
      <c r="H20" s="410" t="s">
        <v>82</v>
      </c>
      <c r="I20" s="193"/>
    </row>
    <row r="21" spans="1:9" ht="15.95" customHeight="1">
      <c r="A21" s="193"/>
      <c r="B21" s="386" t="s">
        <v>245</v>
      </c>
      <c r="C21" s="390">
        <v>22</v>
      </c>
      <c r="D21" s="391">
        <v>51</v>
      </c>
      <c r="E21" s="390">
        <v>111</v>
      </c>
      <c r="F21" s="391">
        <v>310</v>
      </c>
      <c r="G21" s="392">
        <f t="shared" ref="G21:H24" si="2">C21+E21</f>
        <v>133</v>
      </c>
      <c r="H21" s="393">
        <f t="shared" si="2"/>
        <v>361</v>
      </c>
      <c r="I21" s="193"/>
    </row>
    <row r="22" spans="1:9" ht="15.95" customHeight="1">
      <c r="A22" s="193"/>
      <c r="B22" s="386" t="s">
        <v>382</v>
      </c>
      <c r="C22" s="390">
        <v>1</v>
      </c>
      <c r="D22" s="391">
        <v>5</v>
      </c>
      <c r="E22" s="390">
        <v>26</v>
      </c>
      <c r="F22" s="391">
        <v>96</v>
      </c>
      <c r="G22" s="392">
        <f t="shared" si="2"/>
        <v>27</v>
      </c>
      <c r="H22" s="393">
        <f t="shared" si="2"/>
        <v>101</v>
      </c>
      <c r="I22" s="193"/>
    </row>
    <row r="23" spans="1:9" ht="15.95" customHeight="1" thickBot="1">
      <c r="A23" s="193"/>
      <c r="B23" s="386" t="s">
        <v>383</v>
      </c>
      <c r="C23" s="487">
        <f>SUM('99'!C32:C34)</f>
        <v>0</v>
      </c>
      <c r="D23" s="487">
        <f>SUM('99'!D32:D34)</f>
        <v>2</v>
      </c>
      <c r="E23" s="487">
        <f>+SUM('99'!C62:C64)</f>
        <v>0</v>
      </c>
      <c r="F23" s="487">
        <f>+SUM('99'!D62:D64)</f>
        <v>6</v>
      </c>
      <c r="G23" s="392">
        <f t="shared" si="2"/>
        <v>0</v>
      </c>
      <c r="H23" s="393">
        <f t="shared" si="2"/>
        <v>8</v>
      </c>
      <c r="I23" s="193"/>
    </row>
    <row r="24" spans="1:9" ht="15.95" customHeight="1" thickBot="1">
      <c r="A24" s="193"/>
      <c r="B24" s="387" t="s">
        <v>300</v>
      </c>
      <c r="C24" s="394">
        <f>SUM(C21:C23)</f>
        <v>23</v>
      </c>
      <c r="D24" s="394">
        <f>SUM(D21:D23)</f>
        <v>58</v>
      </c>
      <c r="E24" s="394">
        <f>SUM(E21:E23)</f>
        <v>137</v>
      </c>
      <c r="F24" s="394">
        <f>SUM(F21:F23)</f>
        <v>412</v>
      </c>
      <c r="G24" s="395">
        <f t="shared" si="2"/>
        <v>160</v>
      </c>
      <c r="H24" s="396">
        <f t="shared" si="2"/>
        <v>470</v>
      </c>
      <c r="I24" s="193"/>
    </row>
    <row r="25" spans="1:9" ht="15.95" customHeight="1">
      <c r="A25" s="193"/>
      <c r="B25" s="415" t="s">
        <v>388</v>
      </c>
      <c r="C25" s="398"/>
      <c r="D25" s="398"/>
      <c r="E25" s="398"/>
      <c r="F25" s="398"/>
      <c r="G25" s="398"/>
      <c r="H25" s="399"/>
      <c r="I25" s="193"/>
    </row>
    <row r="26" spans="1:9" ht="15.95" customHeight="1">
      <c r="A26" s="193"/>
      <c r="B26" s="386" t="s">
        <v>389</v>
      </c>
      <c r="C26" s="397">
        <f>'99'!U32+'99'!U33+'99'!U34</f>
        <v>23</v>
      </c>
      <c r="D26" s="397">
        <f>'99'!V32+'99'!V33+'99'!V34</f>
        <v>58</v>
      </c>
      <c r="E26" s="397">
        <f>'99'!U62+'99'!U63+'99'!U64</f>
        <v>137</v>
      </c>
      <c r="F26" s="397">
        <f>'99'!V62+'99'!V63+'99'!V64</f>
        <v>412</v>
      </c>
      <c r="G26" s="397">
        <f>C26+E26</f>
        <v>160</v>
      </c>
      <c r="H26" s="393">
        <f>D26+F26</f>
        <v>470</v>
      </c>
      <c r="I26" s="193"/>
    </row>
    <row r="27" spans="1:9" ht="24.75" customHeight="1" thickBot="1">
      <c r="A27" s="193"/>
      <c r="B27" s="405" t="s">
        <v>386</v>
      </c>
      <c r="C27" s="600" t="str">
        <f t="shared" ref="C27:H27" si="3">IF($I$1=0,"",IF(C26=C24,"OK","ERROR"))</f>
        <v>OK</v>
      </c>
      <c r="D27" s="600" t="str">
        <f t="shared" si="3"/>
        <v>OK</v>
      </c>
      <c r="E27" s="600" t="str">
        <f t="shared" si="3"/>
        <v>OK</v>
      </c>
      <c r="F27" s="600" t="str">
        <f t="shared" si="3"/>
        <v>OK</v>
      </c>
      <c r="G27" s="600" t="str">
        <f t="shared" si="3"/>
        <v>OK</v>
      </c>
      <c r="H27" s="600" t="str">
        <f t="shared" si="3"/>
        <v>OK</v>
      </c>
      <c r="I27" s="193"/>
    </row>
    <row r="28" spans="1:9" ht="30.75" customHeight="1">
      <c r="A28" s="193"/>
      <c r="B28" s="528"/>
      <c r="C28" s="529"/>
      <c r="D28" s="529"/>
      <c r="E28" s="529"/>
      <c r="F28" s="529"/>
      <c r="G28" s="529"/>
      <c r="H28" s="529"/>
      <c r="I28" s="193"/>
    </row>
    <row r="29" spans="1:9" ht="24" hidden="1" customHeight="1" thickTop="1" thickBot="1">
      <c r="A29" s="193"/>
      <c r="B29" s="595" t="s">
        <v>390</v>
      </c>
      <c r="C29" s="596"/>
      <c r="D29" s="596"/>
      <c r="E29" s="596"/>
      <c r="F29" s="596"/>
      <c r="G29" s="596"/>
      <c r="H29" s="597"/>
      <c r="I29" s="193"/>
    </row>
    <row r="30" spans="1:9" ht="15.95" hidden="1" customHeight="1" thickTop="1">
      <c r="A30" s="193"/>
      <c r="B30" s="405"/>
      <c r="C30" s="406" t="s">
        <v>379</v>
      </c>
      <c r="D30" s="407"/>
      <c r="E30" s="406" t="s">
        <v>380</v>
      </c>
      <c r="F30" s="407"/>
      <c r="G30" s="406" t="s">
        <v>83</v>
      </c>
      <c r="H30" s="407"/>
      <c r="I30" s="193"/>
    </row>
    <row r="31" spans="1:9" ht="15.95" hidden="1" customHeight="1">
      <c r="A31" s="193"/>
      <c r="B31" s="408" t="s">
        <v>381</v>
      </c>
      <c r="C31" s="409" t="s">
        <v>81</v>
      </c>
      <c r="D31" s="410" t="s">
        <v>82</v>
      </c>
      <c r="E31" s="409" t="s">
        <v>81</v>
      </c>
      <c r="F31" s="410" t="s">
        <v>82</v>
      </c>
      <c r="G31" s="409" t="s">
        <v>81</v>
      </c>
      <c r="H31" s="410" t="s">
        <v>82</v>
      </c>
      <c r="I31" s="193"/>
    </row>
    <row r="32" spans="1:9" ht="15.95" hidden="1" customHeight="1">
      <c r="A32" s="193"/>
      <c r="B32" s="386" t="s">
        <v>245</v>
      </c>
      <c r="C32" s="390"/>
      <c r="D32" s="391"/>
      <c r="E32" s="390"/>
      <c r="F32" s="391"/>
      <c r="G32" s="392">
        <f t="shared" ref="G32:H35" si="4">C32+E32</f>
        <v>0</v>
      </c>
      <c r="H32" s="393">
        <f t="shared" si="4"/>
        <v>0</v>
      </c>
      <c r="I32" s="193"/>
    </row>
    <row r="33" spans="1:9" ht="15.95" hidden="1" customHeight="1">
      <c r="A33" s="193"/>
      <c r="B33" s="386" t="s">
        <v>382</v>
      </c>
      <c r="C33" s="390"/>
      <c r="D33" s="391"/>
      <c r="E33" s="390"/>
      <c r="F33" s="391"/>
      <c r="G33" s="392">
        <f t="shared" si="4"/>
        <v>0</v>
      </c>
      <c r="H33" s="393">
        <f t="shared" si="4"/>
        <v>0</v>
      </c>
      <c r="I33" s="193"/>
    </row>
    <row r="34" spans="1:9" ht="15.95" hidden="1" customHeight="1" thickBot="1">
      <c r="A34" s="193"/>
      <c r="B34" s="386" t="s">
        <v>383</v>
      </c>
      <c r="C34" s="487">
        <f>SUM('99'!C28:C29)</f>
        <v>0</v>
      </c>
      <c r="D34" s="487">
        <f>SUM('99'!D28:D29)</f>
        <v>0</v>
      </c>
      <c r="E34" s="487">
        <f>+SUM('99'!C58:C59)</f>
        <v>0</v>
      </c>
      <c r="F34" s="487">
        <f>+SUM('99'!D58:D59)</f>
        <v>0</v>
      </c>
      <c r="G34" s="392">
        <f t="shared" si="4"/>
        <v>0</v>
      </c>
      <c r="H34" s="393">
        <f t="shared" si="4"/>
        <v>0</v>
      </c>
      <c r="I34" s="193"/>
    </row>
    <row r="35" spans="1:9" ht="15.95" hidden="1" customHeight="1" thickBot="1">
      <c r="A35" s="193"/>
      <c r="B35" s="387" t="s">
        <v>300</v>
      </c>
      <c r="C35" s="394">
        <f>SUM(C32:C34)</f>
        <v>0</v>
      </c>
      <c r="D35" s="394">
        <f>SUM(D32:D34)</f>
        <v>0</v>
      </c>
      <c r="E35" s="394">
        <f>SUM(E32:E34)</f>
        <v>0</v>
      </c>
      <c r="F35" s="394">
        <f>SUM(F32:F34)</f>
        <v>0</v>
      </c>
      <c r="G35" s="395">
        <f t="shared" si="4"/>
        <v>0</v>
      </c>
      <c r="H35" s="396">
        <f t="shared" si="4"/>
        <v>0</v>
      </c>
      <c r="I35" s="193"/>
    </row>
    <row r="36" spans="1:9" ht="15.95" hidden="1" customHeight="1">
      <c r="A36" s="193"/>
      <c r="B36" s="415" t="s">
        <v>391</v>
      </c>
      <c r="C36" s="398"/>
      <c r="D36" s="398"/>
      <c r="E36" s="398"/>
      <c r="F36" s="398"/>
      <c r="G36" s="398"/>
      <c r="H36" s="399"/>
      <c r="I36" s="193"/>
    </row>
    <row r="37" spans="1:9" ht="15.95" hidden="1" customHeight="1">
      <c r="A37" s="193"/>
      <c r="B37" s="386" t="s">
        <v>389</v>
      </c>
      <c r="C37" s="397">
        <f>'99'!U$28+'99'!U$29</f>
        <v>0</v>
      </c>
      <c r="D37" s="397">
        <f>'99'!V$28+'99'!V$29</f>
        <v>0</v>
      </c>
      <c r="E37" s="397">
        <f>'99'!U$58+'99'!U$59</f>
        <v>0</v>
      </c>
      <c r="F37" s="397">
        <f>'99'!V$58+'99'!V$59</f>
        <v>0</v>
      </c>
      <c r="G37" s="397">
        <f>C37+E37</f>
        <v>0</v>
      </c>
      <c r="H37" s="393">
        <f>D37+F37</f>
        <v>0</v>
      </c>
      <c r="I37" s="193"/>
    </row>
    <row r="38" spans="1:9" ht="24" hidden="1" customHeight="1" thickBot="1">
      <c r="A38" s="193"/>
      <c r="B38" s="414" t="s">
        <v>386</v>
      </c>
      <c r="C38" s="600" t="str">
        <f t="shared" ref="C38:H38" si="5">IF($I$1=0,"",IF(C37=C35,"OK","ERROR"))</f>
        <v>OK</v>
      </c>
      <c r="D38" s="600" t="str">
        <f t="shared" si="5"/>
        <v>OK</v>
      </c>
      <c r="E38" s="600" t="str">
        <f t="shared" si="5"/>
        <v>OK</v>
      </c>
      <c r="F38" s="600" t="str">
        <f t="shared" si="5"/>
        <v>OK</v>
      </c>
      <c r="G38" s="600" t="str">
        <f t="shared" si="5"/>
        <v>OK</v>
      </c>
      <c r="H38" s="600" t="str">
        <f t="shared" si="5"/>
        <v>OK</v>
      </c>
      <c r="I38" s="193"/>
    </row>
    <row r="39" spans="1:9" ht="15.95" hidden="1" customHeight="1">
      <c r="A39" s="193"/>
      <c r="B39" s="183"/>
      <c r="C39" s="183"/>
      <c r="D39" s="183"/>
      <c r="E39" s="183"/>
      <c r="F39" s="183"/>
      <c r="G39" s="183"/>
      <c r="H39" s="183"/>
      <c r="I39" s="193"/>
    </row>
    <row r="40" spans="1:9" ht="15.95" customHeight="1">
      <c r="A40" s="193"/>
      <c r="B40" s="183"/>
      <c r="C40" s="183"/>
      <c r="D40" s="183"/>
      <c r="E40" s="183"/>
      <c r="F40" s="183"/>
      <c r="G40" s="183"/>
      <c r="H40" s="183"/>
      <c r="I40" s="193"/>
    </row>
    <row r="41" spans="1:9" ht="15.95" customHeight="1">
      <c r="A41" s="193"/>
      <c r="B41" s="193"/>
      <c r="C41" s="193"/>
      <c r="D41" s="193"/>
      <c r="E41" s="193"/>
      <c r="F41" s="193"/>
      <c r="G41" s="193"/>
      <c r="H41" s="193"/>
      <c r="I41" s="193"/>
    </row>
    <row r="42" spans="1:9" ht="15.95" customHeight="1">
      <c r="A42" s="193"/>
      <c r="B42" s="193"/>
      <c r="C42" s="193"/>
      <c r="D42" s="193"/>
      <c r="E42" s="193"/>
      <c r="F42" s="193"/>
      <c r="G42" s="193"/>
      <c r="H42" s="193"/>
      <c r="I42" s="193"/>
    </row>
    <row r="43" spans="1:9" ht="15.95" customHeight="1">
      <c r="A43" s="193"/>
      <c r="B43" s="193"/>
      <c r="C43" s="193"/>
      <c r="D43" s="193"/>
      <c r="E43" s="193"/>
      <c r="F43" s="193"/>
      <c r="G43" s="193"/>
      <c r="H43" s="193"/>
      <c r="I43" s="193"/>
    </row>
    <row r="44" spans="1:9" ht="15.95" customHeight="1">
      <c r="A44" s="193"/>
      <c r="B44" s="193"/>
      <c r="C44" s="193"/>
      <c r="D44" s="193"/>
      <c r="E44" s="193"/>
      <c r="F44" s="193"/>
      <c r="G44" s="193"/>
      <c r="H44" s="193"/>
      <c r="I44" s="193"/>
    </row>
    <row r="45" spans="1:9" ht="15.95" customHeight="1">
      <c r="A45" s="193"/>
      <c r="B45" s="193"/>
      <c r="C45" s="193"/>
      <c r="D45" s="193"/>
      <c r="E45" s="193"/>
      <c r="F45" s="193"/>
      <c r="G45" s="193"/>
      <c r="H45" s="193"/>
      <c r="I45" s="193"/>
    </row>
    <row r="46" spans="1:9" ht="15.95" customHeight="1">
      <c r="A46" s="193"/>
      <c r="B46" s="193"/>
      <c r="C46" s="193"/>
      <c r="D46" s="193"/>
      <c r="E46" s="193"/>
      <c r="F46" s="193"/>
      <c r="G46" s="193"/>
      <c r="H46" s="193"/>
      <c r="I46" s="193"/>
    </row>
    <row r="47" spans="1:9" ht="15.95" customHeight="1">
      <c r="A47" s="193"/>
      <c r="B47" s="193"/>
      <c r="C47" s="193"/>
      <c r="D47" s="193"/>
      <c r="E47" s="193"/>
      <c r="F47" s="193"/>
      <c r="G47" s="193"/>
      <c r="H47" s="193"/>
      <c r="I47" s="193"/>
    </row>
    <row r="48" spans="1:9" ht="15.95" customHeight="1">
      <c r="A48" s="193"/>
      <c r="B48" s="193"/>
      <c r="C48" s="193"/>
      <c r="D48" s="193"/>
      <c r="E48" s="193"/>
      <c r="F48" s="193"/>
      <c r="G48" s="193"/>
      <c r="H48" s="193"/>
      <c r="I48" s="193"/>
    </row>
    <row r="49" spans="1:9" ht="15.95" customHeight="1">
      <c r="A49" s="193"/>
      <c r="B49" s="193"/>
      <c r="C49" s="193"/>
      <c r="D49" s="193"/>
      <c r="E49" s="193"/>
      <c r="F49" s="193"/>
      <c r="G49" s="193"/>
      <c r="H49" s="193"/>
      <c r="I49" s="193"/>
    </row>
    <row r="50" spans="1:9" ht="15.95" customHeight="1">
      <c r="A50" s="193"/>
      <c r="B50" s="193"/>
      <c r="C50" s="193"/>
      <c r="D50" s="193"/>
      <c r="E50" s="193"/>
      <c r="F50" s="193"/>
      <c r="G50" s="193"/>
      <c r="H50" s="193"/>
      <c r="I50" s="193"/>
    </row>
    <row r="51" spans="1:9" ht="15.95" customHeight="1">
      <c r="A51" s="193"/>
      <c r="B51" s="193"/>
      <c r="C51" s="193"/>
      <c r="D51" s="193"/>
      <c r="E51" s="193"/>
      <c r="F51" s="193"/>
      <c r="G51" s="193"/>
      <c r="H51" s="193"/>
      <c r="I51" s="193"/>
    </row>
    <row r="52" spans="1:9" ht="15.95" customHeight="1">
      <c r="A52" s="193"/>
      <c r="B52" s="193"/>
      <c r="C52" s="193"/>
      <c r="D52" s="193"/>
      <c r="E52" s="193"/>
      <c r="F52" s="193"/>
      <c r="G52" s="193"/>
      <c r="H52" s="193"/>
      <c r="I52" s="193"/>
    </row>
    <row r="53" spans="1:9" ht="15.95" customHeight="1">
      <c r="A53" s="193"/>
      <c r="B53" s="193"/>
      <c r="C53" s="193"/>
      <c r="D53" s="193"/>
      <c r="E53" s="193"/>
      <c r="F53" s="193"/>
      <c r="G53" s="193"/>
      <c r="H53" s="193"/>
      <c r="I53" s="193"/>
    </row>
    <row r="54" spans="1:9" ht="15.95" customHeight="1">
      <c r="A54" s="193"/>
      <c r="B54" s="193"/>
      <c r="C54" s="193"/>
      <c r="D54" s="193"/>
      <c r="E54" s="193"/>
      <c r="F54" s="193"/>
      <c r="G54" s="193"/>
      <c r="H54" s="193"/>
      <c r="I54" s="193"/>
    </row>
    <row r="55" spans="1:9" ht="15.95" customHeight="1">
      <c r="A55" s="193"/>
      <c r="B55" s="193"/>
      <c r="C55" s="193"/>
      <c r="D55" s="193"/>
      <c r="E55" s="193"/>
      <c r="F55" s="193"/>
      <c r="G55" s="193"/>
      <c r="H55" s="193"/>
      <c r="I55" s="193"/>
    </row>
    <row r="56" spans="1:9" ht="15.95" customHeight="1">
      <c r="A56" s="193"/>
      <c r="B56" s="193"/>
      <c r="C56" s="193"/>
      <c r="D56" s="193"/>
      <c r="E56" s="193"/>
      <c r="F56" s="193"/>
      <c r="G56" s="193"/>
      <c r="H56" s="193"/>
      <c r="I56" s="193"/>
    </row>
    <row r="57" spans="1:9" ht="15.95" customHeight="1">
      <c r="A57" s="193"/>
      <c r="B57" s="193"/>
      <c r="C57" s="193"/>
      <c r="D57" s="193"/>
      <c r="E57" s="193"/>
      <c r="F57" s="193"/>
      <c r="G57" s="193"/>
      <c r="H57" s="193"/>
      <c r="I57" s="193"/>
    </row>
    <row r="58" spans="1:9" ht="15.95" customHeight="1">
      <c r="A58" s="193"/>
      <c r="B58" s="193"/>
      <c r="C58" s="193"/>
      <c r="D58" s="193"/>
      <c r="E58" s="193"/>
      <c r="F58" s="193"/>
      <c r="G58" s="193"/>
      <c r="H58" s="193"/>
      <c r="I58" s="193"/>
    </row>
    <row r="59" spans="1:9" ht="15.95" customHeight="1">
      <c r="A59" s="193"/>
      <c r="B59" s="193"/>
      <c r="C59" s="193"/>
      <c r="D59" s="193"/>
      <c r="E59" s="193"/>
      <c r="F59" s="193"/>
      <c r="G59" s="193"/>
      <c r="H59" s="193"/>
      <c r="I59" s="193"/>
    </row>
    <row r="60" spans="1:9" ht="15.95" customHeight="1">
      <c r="A60" s="193"/>
      <c r="B60" s="193"/>
      <c r="C60" s="193"/>
      <c r="D60" s="193"/>
      <c r="E60" s="193"/>
      <c r="F60" s="193"/>
      <c r="G60" s="193"/>
      <c r="H60" s="193"/>
      <c r="I60" s="193"/>
    </row>
    <row r="61" spans="1:9" ht="15.95" customHeight="1">
      <c r="A61" s="193"/>
      <c r="B61" s="193"/>
      <c r="C61" s="193"/>
      <c r="D61" s="193"/>
      <c r="E61" s="193"/>
      <c r="F61" s="193"/>
      <c r="G61" s="193"/>
      <c r="H61" s="193"/>
      <c r="I61" s="193"/>
    </row>
    <row r="62" spans="1:9" ht="15.95" customHeight="1">
      <c r="A62" s="193"/>
      <c r="B62" s="193"/>
      <c r="C62" s="193"/>
      <c r="D62" s="193"/>
      <c r="E62" s="193"/>
      <c r="F62" s="193"/>
      <c r="G62" s="193"/>
      <c r="H62" s="193"/>
      <c r="I62" s="193"/>
    </row>
    <row r="63" spans="1:9" ht="15.95" customHeight="1">
      <c r="A63" s="193"/>
      <c r="B63" s="193"/>
      <c r="C63" s="193"/>
      <c r="D63" s="193"/>
      <c r="E63" s="193"/>
      <c r="F63" s="193"/>
      <c r="G63" s="193"/>
      <c r="H63" s="193"/>
      <c r="I63" s="193"/>
    </row>
    <row r="64" spans="1:9" ht="15.95" customHeight="1">
      <c r="A64" s="193"/>
      <c r="B64" s="193"/>
      <c r="C64" s="193"/>
      <c r="D64" s="193"/>
      <c r="E64" s="193"/>
      <c r="F64" s="193"/>
      <c r="G64" s="193"/>
      <c r="H64" s="193"/>
      <c r="I64" s="193"/>
    </row>
    <row r="65" spans="1:9" ht="15.95" customHeight="1">
      <c r="A65" s="193"/>
      <c r="B65" s="193"/>
      <c r="C65" s="193"/>
      <c r="D65" s="193"/>
      <c r="E65" s="193"/>
      <c r="F65" s="193"/>
      <c r="G65" s="193"/>
      <c r="H65" s="193"/>
      <c r="I65" s="193"/>
    </row>
    <row r="66" spans="1:9" ht="15.95" customHeight="1">
      <c r="A66" s="193"/>
      <c r="B66" s="193"/>
      <c r="C66" s="193"/>
      <c r="D66" s="193"/>
      <c r="E66" s="193"/>
      <c r="F66" s="193"/>
      <c r="G66" s="193"/>
      <c r="H66" s="193"/>
      <c r="I66" s="193"/>
    </row>
    <row r="67" spans="1:9" ht="15.95" customHeight="1">
      <c r="A67" s="193"/>
      <c r="B67" s="193"/>
      <c r="C67" s="193"/>
      <c r="D67" s="193"/>
      <c r="E67" s="193"/>
      <c r="F67" s="193"/>
      <c r="G67" s="193"/>
      <c r="H67" s="193"/>
      <c r="I67" s="193"/>
    </row>
    <row r="68" spans="1:9" ht="15.95" customHeight="1">
      <c r="A68" s="193"/>
      <c r="B68" s="193"/>
      <c r="C68" s="193"/>
      <c r="D68" s="193"/>
      <c r="E68" s="193"/>
      <c r="F68" s="193"/>
      <c r="G68" s="193"/>
      <c r="H68" s="193"/>
      <c r="I68" s="193"/>
    </row>
    <row r="69" spans="1:9" ht="15.95" customHeight="1">
      <c r="A69" s="193"/>
      <c r="B69" s="193"/>
      <c r="C69" s="193"/>
      <c r="D69" s="193"/>
      <c r="E69" s="193"/>
      <c r="F69" s="193"/>
      <c r="G69" s="193"/>
      <c r="H69" s="193"/>
      <c r="I69" s="193"/>
    </row>
    <row r="70" spans="1:9" ht="15.95" customHeight="1">
      <c r="A70" s="193"/>
      <c r="B70" s="193"/>
      <c r="C70" s="193"/>
      <c r="D70" s="193"/>
      <c r="E70" s="193"/>
      <c r="F70" s="193"/>
      <c r="G70" s="193"/>
      <c r="H70" s="193"/>
      <c r="I70" s="193"/>
    </row>
    <row r="71" spans="1:9" ht="15.95" customHeight="1">
      <c r="A71" s="193"/>
      <c r="B71" s="193"/>
      <c r="C71" s="193"/>
      <c r="D71" s="193"/>
      <c r="E71" s="193"/>
      <c r="F71" s="193"/>
      <c r="G71" s="193"/>
      <c r="H71" s="193"/>
      <c r="I71" s="193"/>
    </row>
    <row r="72" spans="1:9" ht="15.95" customHeight="1">
      <c r="A72" s="193"/>
      <c r="B72" s="193"/>
      <c r="C72" s="193"/>
      <c r="D72" s="193"/>
      <c r="E72" s="193"/>
      <c r="F72" s="193"/>
      <c r="G72" s="193"/>
      <c r="H72" s="193"/>
      <c r="I72" s="193"/>
    </row>
    <row r="73" spans="1:9" ht="15.95" customHeight="1">
      <c r="A73" s="193"/>
      <c r="B73" s="193"/>
      <c r="C73" s="193"/>
      <c r="D73" s="193"/>
      <c r="E73" s="193"/>
      <c r="F73" s="193"/>
      <c r="G73" s="193"/>
      <c r="H73" s="193"/>
      <c r="I73" s="193"/>
    </row>
    <row r="74" spans="1:9" ht="15.95" customHeight="1">
      <c r="A74" s="193"/>
      <c r="B74" s="193"/>
      <c r="C74" s="193"/>
      <c r="D74" s="193"/>
      <c r="E74" s="193"/>
      <c r="F74" s="193"/>
      <c r="G74" s="193"/>
      <c r="H74" s="193"/>
      <c r="I74" s="193"/>
    </row>
    <row r="75" spans="1:9" ht="15.95" customHeight="1">
      <c r="A75" s="193"/>
      <c r="B75" s="193"/>
      <c r="C75" s="193"/>
      <c r="D75" s="193"/>
      <c r="E75" s="193"/>
      <c r="F75" s="193"/>
      <c r="G75" s="193"/>
      <c r="H75" s="193"/>
      <c r="I75" s="193"/>
    </row>
    <row r="76" spans="1:9" ht="15.95" customHeight="1">
      <c r="A76" s="193"/>
      <c r="B76" s="193"/>
      <c r="C76" s="193"/>
      <c r="D76" s="193"/>
      <c r="E76" s="193"/>
      <c r="F76" s="193"/>
      <c r="G76" s="193"/>
      <c r="H76" s="193"/>
      <c r="I76" s="193"/>
    </row>
    <row r="77" spans="1:9" ht="15.95" customHeight="1">
      <c r="A77" s="193"/>
      <c r="B77" s="193"/>
      <c r="C77" s="193"/>
      <c r="D77" s="193"/>
      <c r="E77" s="193"/>
      <c r="F77" s="193"/>
      <c r="G77" s="193"/>
      <c r="H77" s="193"/>
      <c r="I77" s="193"/>
    </row>
    <row r="78" spans="1:9" ht="15.95" customHeight="1">
      <c r="A78" s="193"/>
      <c r="B78" s="193"/>
      <c r="C78" s="193"/>
      <c r="D78" s="193"/>
      <c r="E78" s="193"/>
      <c r="F78" s="193"/>
      <c r="G78" s="193"/>
      <c r="H78" s="193"/>
      <c r="I78" s="193"/>
    </row>
    <row r="79" spans="1:9" ht="15.95" customHeight="1">
      <c r="A79" s="193"/>
      <c r="B79" s="193"/>
      <c r="C79" s="193"/>
      <c r="D79" s="193"/>
      <c r="E79" s="193"/>
      <c r="F79" s="193"/>
      <c r="G79" s="193"/>
      <c r="H79" s="193"/>
      <c r="I79" s="193"/>
    </row>
    <row r="80" spans="1:9" ht="15.95" customHeight="1">
      <c r="A80" s="193"/>
      <c r="B80" s="193"/>
      <c r="C80" s="193"/>
      <c r="D80" s="193"/>
      <c r="E80" s="193"/>
      <c r="F80" s="193"/>
      <c r="G80" s="193"/>
      <c r="H80" s="193"/>
      <c r="I80" s="193"/>
    </row>
    <row r="81" spans="1:9" ht="15.95" customHeight="1">
      <c r="A81" s="193"/>
      <c r="B81" s="193"/>
      <c r="C81" s="193"/>
      <c r="D81" s="193"/>
      <c r="E81" s="193"/>
      <c r="F81" s="193"/>
      <c r="G81" s="193"/>
      <c r="H81" s="193"/>
      <c r="I81" s="193"/>
    </row>
    <row r="82" spans="1:9" ht="15.95" customHeight="1">
      <c r="A82" s="193"/>
      <c r="B82" s="193"/>
      <c r="C82" s="193"/>
      <c r="D82" s="193"/>
      <c r="E82" s="193"/>
      <c r="F82" s="193"/>
      <c r="G82" s="193"/>
      <c r="H82" s="193"/>
      <c r="I82" s="193"/>
    </row>
    <row r="83" spans="1:9" ht="15.95" customHeight="1">
      <c r="A83" s="193"/>
      <c r="B83" s="193"/>
      <c r="C83" s="193"/>
      <c r="D83" s="193"/>
      <c r="E83" s="193"/>
      <c r="F83" s="193"/>
      <c r="G83" s="193"/>
      <c r="H83" s="193"/>
      <c r="I83" s="193"/>
    </row>
    <row r="84" spans="1:9" ht="15.95" customHeight="1">
      <c r="A84" s="193"/>
      <c r="B84" s="193"/>
      <c r="C84" s="193"/>
      <c r="D84" s="193"/>
      <c r="E84" s="193"/>
      <c r="F84" s="193"/>
      <c r="G84" s="193"/>
      <c r="H84" s="193"/>
      <c r="I84" s="193"/>
    </row>
    <row r="85" spans="1:9" ht="15.95" customHeight="1">
      <c r="A85" s="193"/>
      <c r="B85" s="193"/>
      <c r="C85" s="193"/>
      <c r="D85" s="193"/>
      <c r="E85" s="193"/>
      <c r="F85" s="193"/>
      <c r="G85" s="193"/>
      <c r="H85" s="193"/>
      <c r="I85" s="193"/>
    </row>
    <row r="86" spans="1:9" ht="15.95" customHeight="1">
      <c r="A86" s="193"/>
      <c r="B86" s="193"/>
      <c r="C86" s="193"/>
      <c r="D86" s="193"/>
      <c r="E86" s="193"/>
      <c r="F86" s="193"/>
      <c r="G86" s="193"/>
      <c r="H86" s="193"/>
      <c r="I86" s="193"/>
    </row>
    <row r="87" spans="1:9" ht="15.95" customHeight="1">
      <c r="A87" s="193"/>
      <c r="B87" s="193"/>
      <c r="C87" s="193"/>
      <c r="D87" s="193"/>
      <c r="E87" s="193"/>
      <c r="F87" s="193"/>
      <c r="G87" s="193"/>
      <c r="H87" s="193"/>
      <c r="I87" s="193"/>
    </row>
    <row r="88" spans="1:9" ht="15.95" customHeight="1">
      <c r="A88" s="193"/>
      <c r="B88" s="193"/>
      <c r="C88" s="193"/>
      <c r="D88" s="193"/>
      <c r="E88" s="193"/>
      <c r="F88" s="193"/>
      <c r="G88" s="193"/>
      <c r="H88" s="193"/>
      <c r="I88" s="193"/>
    </row>
    <row r="89" spans="1:9" ht="15.95" customHeight="1">
      <c r="A89" s="193"/>
      <c r="B89" s="193"/>
      <c r="C89" s="193"/>
      <c r="D89" s="193"/>
      <c r="E89" s="193"/>
      <c r="F89" s="193"/>
      <c r="G89" s="193"/>
      <c r="H89" s="193"/>
      <c r="I89" s="193"/>
    </row>
    <row r="90" spans="1:9" ht="15.95" customHeight="1">
      <c r="A90" s="193"/>
      <c r="B90" s="193"/>
      <c r="C90" s="193"/>
      <c r="D90" s="193"/>
      <c r="E90" s="193"/>
      <c r="F90" s="193"/>
      <c r="G90" s="193"/>
      <c r="H90" s="193"/>
      <c r="I90" s="193"/>
    </row>
    <row r="91" spans="1:9" ht="15.95" customHeight="1">
      <c r="A91" s="193"/>
      <c r="B91" s="193"/>
      <c r="C91" s="193"/>
      <c r="D91" s="193"/>
      <c r="E91" s="193"/>
      <c r="F91" s="193"/>
      <c r="G91" s="193"/>
      <c r="H91" s="193"/>
      <c r="I91" s="193"/>
    </row>
    <row r="92" spans="1:9" ht="15.95" customHeight="1">
      <c r="A92" s="193"/>
      <c r="B92" s="193"/>
      <c r="C92" s="193"/>
      <c r="D92" s="193"/>
      <c r="E92" s="193"/>
      <c r="F92" s="193"/>
      <c r="G92" s="193"/>
      <c r="H92" s="193"/>
      <c r="I92" s="193"/>
    </row>
    <row r="93" spans="1:9" ht="15.95" customHeight="1">
      <c r="A93" s="193"/>
      <c r="B93" s="193"/>
      <c r="C93" s="193"/>
      <c r="D93" s="193"/>
      <c r="E93" s="193"/>
      <c r="F93" s="193"/>
      <c r="G93" s="193"/>
      <c r="H93" s="193"/>
      <c r="I93" s="193"/>
    </row>
    <row r="94" spans="1:9" ht="15.95" customHeight="1">
      <c r="A94" s="193"/>
      <c r="B94" s="193"/>
      <c r="C94" s="193"/>
      <c r="D94" s="193"/>
      <c r="E94" s="193"/>
      <c r="F94" s="193"/>
      <c r="G94" s="193"/>
      <c r="H94" s="193"/>
      <c r="I94" s="193"/>
    </row>
    <row r="95" spans="1:9" ht="15.95" customHeight="1">
      <c r="A95" s="193"/>
      <c r="B95" s="193"/>
      <c r="C95" s="193"/>
      <c r="D95" s="193"/>
      <c r="E95" s="193"/>
      <c r="F95" s="193"/>
      <c r="G95" s="193"/>
      <c r="H95" s="193"/>
      <c r="I95" s="193"/>
    </row>
    <row r="96" spans="1:9" ht="15.95" customHeight="1">
      <c r="A96" s="193"/>
      <c r="B96" s="193"/>
      <c r="C96" s="193"/>
      <c r="D96" s="193"/>
      <c r="E96" s="193"/>
      <c r="F96" s="193"/>
      <c r="G96" s="193"/>
      <c r="H96" s="193"/>
      <c r="I96" s="193"/>
    </row>
    <row r="97" spans="1:9" ht="15.95" customHeight="1">
      <c r="A97" s="193"/>
      <c r="B97" s="193"/>
      <c r="C97" s="193"/>
      <c r="D97" s="193"/>
      <c r="E97" s="193"/>
      <c r="F97" s="193"/>
      <c r="G97" s="193"/>
      <c r="H97" s="193"/>
      <c r="I97" s="193"/>
    </row>
    <row r="98" spans="1:9" ht="15.95" customHeight="1">
      <c r="A98" s="193"/>
      <c r="B98" s="193"/>
      <c r="C98" s="193"/>
      <c r="D98" s="193"/>
      <c r="E98" s="193"/>
      <c r="F98" s="193"/>
      <c r="G98" s="193"/>
      <c r="H98" s="193"/>
      <c r="I98" s="193"/>
    </row>
    <row r="99" spans="1:9" ht="15.95" customHeight="1">
      <c r="A99" s="193"/>
      <c r="B99" s="193"/>
      <c r="C99" s="193"/>
      <c r="D99" s="193"/>
      <c r="E99" s="193"/>
      <c r="F99" s="193"/>
      <c r="G99" s="193"/>
      <c r="H99" s="193"/>
      <c r="I99" s="193"/>
    </row>
    <row r="100" spans="1:9" ht="15.95" customHeight="1">
      <c r="A100" s="193"/>
      <c r="B100" s="193"/>
      <c r="C100" s="193"/>
      <c r="D100" s="193"/>
      <c r="E100" s="193"/>
      <c r="F100" s="193"/>
      <c r="G100" s="193"/>
      <c r="H100" s="193"/>
      <c r="I100" s="193"/>
    </row>
    <row r="101" spans="1:9" ht="15.95" customHeight="1">
      <c r="A101" s="193"/>
      <c r="B101" s="193"/>
      <c r="C101" s="193"/>
      <c r="D101" s="193"/>
      <c r="E101" s="193"/>
      <c r="F101" s="193"/>
      <c r="G101" s="193"/>
      <c r="H101" s="193"/>
      <c r="I101" s="193"/>
    </row>
    <row r="102" spans="1:9" ht="15.95" customHeight="1">
      <c r="A102" s="193"/>
      <c r="B102" s="193"/>
      <c r="C102" s="193"/>
      <c r="D102" s="193"/>
      <c r="E102" s="193"/>
      <c r="F102" s="193"/>
      <c r="G102" s="193"/>
      <c r="H102" s="193"/>
      <c r="I102" s="193"/>
    </row>
    <row r="103" spans="1:9" ht="15.95" customHeight="1">
      <c r="A103" s="193"/>
      <c r="B103" s="193"/>
      <c r="C103" s="193"/>
      <c r="D103" s="193"/>
      <c r="E103" s="193"/>
      <c r="F103" s="193"/>
      <c r="G103" s="193"/>
      <c r="H103" s="193"/>
      <c r="I103" s="193"/>
    </row>
    <row r="104" spans="1:9" ht="15.95" customHeight="1">
      <c r="A104" s="193"/>
      <c r="B104" s="193"/>
      <c r="C104" s="193"/>
      <c r="D104" s="193"/>
      <c r="E104" s="193"/>
      <c r="F104" s="193"/>
      <c r="G104" s="193"/>
      <c r="H104" s="193"/>
      <c r="I104" s="193"/>
    </row>
    <row r="105" spans="1:9" ht="15.95" customHeight="1">
      <c r="A105" s="193"/>
      <c r="B105" s="193"/>
      <c r="C105" s="193"/>
      <c r="D105" s="193"/>
      <c r="E105" s="193"/>
      <c r="F105" s="193"/>
      <c r="G105" s="193"/>
      <c r="H105" s="193"/>
      <c r="I105" s="193"/>
    </row>
    <row r="106" spans="1:9" ht="15.95" customHeight="1">
      <c r="A106" s="193"/>
      <c r="B106" s="193"/>
      <c r="C106" s="193"/>
      <c r="D106" s="193"/>
      <c r="E106" s="193"/>
      <c r="F106" s="193"/>
      <c r="G106" s="193"/>
      <c r="H106" s="193"/>
      <c r="I106" s="193"/>
    </row>
    <row r="107" spans="1:9" ht="15.95" customHeight="1">
      <c r="A107" s="193"/>
      <c r="B107" s="193"/>
      <c r="C107" s="193"/>
      <c r="D107" s="193"/>
      <c r="E107" s="193"/>
      <c r="F107" s="193"/>
      <c r="G107" s="193"/>
      <c r="H107" s="193"/>
      <c r="I107" s="193"/>
    </row>
    <row r="108" spans="1:9" ht="15.95" customHeight="1">
      <c r="A108" s="193"/>
      <c r="B108" s="193"/>
      <c r="C108" s="193"/>
      <c r="D108" s="193"/>
      <c r="E108" s="193"/>
      <c r="F108" s="193"/>
      <c r="G108" s="193"/>
      <c r="H108" s="193"/>
      <c r="I108" s="193"/>
    </row>
    <row r="109" spans="1:9" ht="15.95" customHeight="1">
      <c r="A109" s="193"/>
      <c r="B109" s="193"/>
      <c r="C109" s="193"/>
      <c r="D109" s="193"/>
      <c r="E109" s="193"/>
      <c r="F109" s="193"/>
      <c r="G109" s="193"/>
      <c r="H109" s="193"/>
      <c r="I109" s="193"/>
    </row>
    <row r="110" spans="1:9" ht="15.95" customHeight="1">
      <c r="A110" s="193"/>
      <c r="B110" s="193"/>
      <c r="C110" s="193"/>
      <c r="D110" s="193"/>
      <c r="E110" s="193"/>
      <c r="F110" s="193"/>
      <c r="G110" s="193"/>
      <c r="H110" s="193"/>
      <c r="I110" s="193"/>
    </row>
    <row r="111" spans="1:9" ht="15.95" customHeight="1">
      <c r="A111" s="193"/>
      <c r="B111" s="193"/>
      <c r="C111" s="193"/>
      <c r="D111" s="193"/>
      <c r="E111" s="193"/>
      <c r="F111" s="193"/>
      <c r="G111" s="193"/>
      <c r="H111" s="193"/>
      <c r="I111" s="193"/>
    </row>
    <row r="112" spans="1:9" ht="15.95" customHeight="1">
      <c r="A112" s="193"/>
      <c r="B112" s="193"/>
      <c r="C112" s="193"/>
      <c r="D112" s="193"/>
      <c r="E112" s="193"/>
      <c r="F112" s="193"/>
      <c r="G112" s="193"/>
      <c r="H112" s="193"/>
      <c r="I112" s="193"/>
    </row>
    <row r="113" spans="1:9" ht="15.95" customHeight="1">
      <c r="A113" s="193"/>
      <c r="B113" s="193"/>
      <c r="C113" s="193"/>
      <c r="D113" s="193"/>
      <c r="E113" s="193"/>
      <c r="F113" s="193"/>
      <c r="G113" s="193"/>
      <c r="H113" s="193"/>
      <c r="I113" s="193"/>
    </row>
    <row r="114" spans="1:9" ht="15.95" customHeight="1">
      <c r="A114" s="193"/>
      <c r="B114" s="193"/>
      <c r="C114" s="193"/>
      <c r="D114" s="193"/>
      <c r="E114" s="193"/>
      <c r="F114" s="193"/>
      <c r="G114" s="193"/>
      <c r="H114" s="193"/>
      <c r="I114" s="193"/>
    </row>
    <row r="115" spans="1:9" ht="15.95" customHeight="1">
      <c r="A115" s="193"/>
      <c r="B115" s="193"/>
      <c r="C115" s="193"/>
      <c r="D115" s="193"/>
      <c r="E115" s="193"/>
      <c r="F115" s="193"/>
      <c r="G115" s="193"/>
      <c r="H115" s="193"/>
      <c r="I115" s="193"/>
    </row>
    <row r="116" spans="1:9" ht="15.95" customHeight="1">
      <c r="A116" s="193"/>
      <c r="B116" s="193"/>
      <c r="C116" s="193"/>
      <c r="D116" s="193"/>
      <c r="E116" s="193"/>
      <c r="F116" s="193"/>
      <c r="G116" s="193"/>
      <c r="H116" s="193"/>
      <c r="I116" s="193"/>
    </row>
    <row r="117" spans="1:9" ht="15.95" customHeight="1">
      <c r="A117" s="193"/>
      <c r="B117" s="193"/>
      <c r="C117" s="193"/>
      <c r="D117" s="193"/>
      <c r="E117" s="193"/>
      <c r="F117" s="193"/>
      <c r="G117" s="193"/>
      <c r="H117" s="193"/>
      <c r="I117" s="193"/>
    </row>
    <row r="118" spans="1:9" ht="15.95" customHeight="1">
      <c r="A118" s="193"/>
      <c r="B118" s="193"/>
      <c r="C118" s="193"/>
      <c r="D118" s="193"/>
      <c r="E118" s="193"/>
      <c r="F118" s="193"/>
      <c r="G118" s="193"/>
      <c r="H118" s="193"/>
      <c r="I118" s="193"/>
    </row>
    <row r="119" spans="1:9" ht="15.95" customHeight="1">
      <c r="A119" s="193"/>
      <c r="B119" s="193"/>
      <c r="C119" s="193"/>
      <c r="D119" s="193"/>
      <c r="E119" s="193"/>
      <c r="F119" s="193"/>
      <c r="G119" s="193"/>
      <c r="H119" s="193"/>
      <c r="I119" s="193"/>
    </row>
    <row r="120" spans="1:9" ht="15.95" customHeight="1">
      <c r="A120" s="193"/>
      <c r="B120" s="193"/>
      <c r="C120" s="193"/>
      <c r="D120" s="193"/>
      <c r="E120" s="193"/>
      <c r="F120" s="193"/>
      <c r="G120" s="193"/>
      <c r="H120" s="193"/>
      <c r="I120" s="193"/>
    </row>
    <row r="121" spans="1:9" ht="15.95" customHeight="1">
      <c r="A121" s="193"/>
      <c r="B121" s="193"/>
      <c r="C121" s="193"/>
      <c r="D121" s="193"/>
      <c r="E121" s="193"/>
      <c r="F121" s="193"/>
      <c r="G121" s="193"/>
      <c r="H121" s="193"/>
      <c r="I121" s="193"/>
    </row>
    <row r="122" spans="1:9" ht="15.95" customHeight="1">
      <c r="A122" s="193"/>
      <c r="B122" s="193"/>
      <c r="C122" s="193"/>
      <c r="D122" s="193"/>
      <c r="E122" s="193"/>
      <c r="F122" s="193"/>
      <c r="G122" s="193"/>
      <c r="H122" s="193"/>
      <c r="I122" s="193"/>
    </row>
    <row r="123" spans="1:9" ht="15.95" customHeight="1">
      <c r="A123" s="193"/>
      <c r="B123" s="193"/>
      <c r="C123" s="193"/>
      <c r="D123" s="193"/>
      <c r="E123" s="193"/>
      <c r="F123" s="193"/>
      <c r="G123" s="193"/>
      <c r="H123" s="193"/>
      <c r="I123" s="193"/>
    </row>
    <row r="124" spans="1:9" ht="15.95" customHeight="1">
      <c r="A124" s="193"/>
      <c r="B124" s="193"/>
      <c r="C124" s="193"/>
      <c r="D124" s="193"/>
      <c r="E124" s="193"/>
      <c r="F124" s="193"/>
      <c r="G124" s="193"/>
      <c r="H124" s="193"/>
      <c r="I124" s="193"/>
    </row>
    <row r="125" spans="1:9" ht="15.95" customHeight="1">
      <c r="A125" s="193"/>
      <c r="B125" s="193"/>
      <c r="C125" s="193"/>
      <c r="D125" s="193"/>
      <c r="E125" s="193"/>
      <c r="F125" s="193"/>
      <c r="G125" s="193"/>
      <c r="H125" s="193"/>
      <c r="I125" s="193"/>
    </row>
    <row r="126" spans="1:9" ht="15.95" customHeight="1">
      <c r="A126" s="193"/>
      <c r="B126" s="193"/>
      <c r="C126" s="193"/>
      <c r="D126" s="193"/>
      <c r="E126" s="193"/>
      <c r="F126" s="193"/>
      <c r="G126" s="193"/>
      <c r="H126" s="193"/>
      <c r="I126" s="193"/>
    </row>
    <row r="127" spans="1:9" ht="15.95" customHeight="1">
      <c r="A127" s="193"/>
      <c r="B127" s="193"/>
      <c r="C127" s="193"/>
      <c r="D127" s="193"/>
      <c r="E127" s="193"/>
      <c r="F127" s="193"/>
      <c r="G127" s="193"/>
      <c r="H127" s="193"/>
      <c r="I127" s="193"/>
    </row>
    <row r="128" spans="1:9" ht="15.95" customHeight="1">
      <c r="A128" s="193"/>
      <c r="B128" s="193"/>
      <c r="C128" s="193"/>
      <c r="D128" s="193"/>
      <c r="E128" s="193"/>
      <c r="F128" s="193"/>
      <c r="G128" s="193"/>
      <c r="H128" s="193"/>
      <c r="I128" s="193"/>
    </row>
    <row r="129" spans="1:9" ht="15.95" customHeight="1">
      <c r="A129" s="193"/>
      <c r="B129" s="193"/>
      <c r="C129" s="193"/>
      <c r="D129" s="193"/>
      <c r="E129" s="193"/>
      <c r="F129" s="193"/>
      <c r="G129" s="193"/>
      <c r="H129" s="193"/>
      <c r="I129" s="193"/>
    </row>
    <row r="130" spans="1:9" ht="15.95" customHeight="1">
      <c r="A130" s="193"/>
      <c r="B130" s="193"/>
      <c r="C130" s="193"/>
      <c r="D130" s="193"/>
      <c r="E130" s="193"/>
      <c r="F130" s="193"/>
      <c r="G130" s="193"/>
      <c r="H130" s="193"/>
      <c r="I130" s="193"/>
    </row>
    <row r="131" spans="1:9" ht="15.95" customHeight="1">
      <c r="A131" s="193"/>
      <c r="B131" s="193"/>
      <c r="C131" s="193"/>
      <c r="D131" s="193"/>
      <c r="E131" s="193"/>
      <c r="F131" s="193"/>
      <c r="G131" s="193"/>
      <c r="H131" s="193"/>
      <c r="I131" s="193"/>
    </row>
    <row r="132" spans="1:9" ht="15.95" customHeight="1">
      <c r="A132" s="193"/>
      <c r="B132" s="193"/>
      <c r="C132" s="193"/>
      <c r="D132" s="193"/>
      <c r="E132" s="193"/>
      <c r="F132" s="193"/>
      <c r="G132" s="193"/>
      <c r="H132" s="193"/>
      <c r="I132" s="193"/>
    </row>
    <row r="133" spans="1:9" ht="15.95" customHeight="1">
      <c r="A133" s="193"/>
      <c r="B133" s="193"/>
      <c r="C133" s="193"/>
      <c r="D133" s="193"/>
      <c r="E133" s="193"/>
      <c r="F133" s="193"/>
      <c r="G133" s="193"/>
      <c r="H133" s="193"/>
      <c r="I133" s="193"/>
    </row>
    <row r="134" spans="1:9" ht="15.95" customHeight="1">
      <c r="A134" s="193"/>
      <c r="B134" s="193"/>
      <c r="C134" s="193"/>
      <c r="D134" s="193"/>
      <c r="E134" s="193"/>
      <c r="F134" s="193"/>
      <c r="G134" s="193"/>
      <c r="H134" s="193"/>
      <c r="I134" s="193"/>
    </row>
    <row r="135" spans="1:9" ht="15.95" customHeight="1">
      <c r="A135" s="193"/>
      <c r="B135" s="193"/>
      <c r="C135" s="193"/>
      <c r="D135" s="193"/>
      <c r="E135" s="193"/>
      <c r="F135" s="193"/>
      <c r="G135" s="193"/>
      <c r="H135" s="193"/>
      <c r="I135" s="193"/>
    </row>
  </sheetData>
  <mergeCells count="3">
    <mergeCell ref="A4:B4"/>
    <mergeCell ref="G5:H5"/>
    <mergeCell ref="A1:H1"/>
  </mergeCells>
  <phoneticPr fontId="54" type="noConversion"/>
  <pageMargins left="0.5" right="0.5" top="0.75" bottom="0.75" header="0.5" footer="0.5"/>
  <pageSetup scale="120" fitToWidth="0" fitToHeight="0" orientation="portrait" horizontalDpi="300" verticalDpi="300" r:id="rId1"/>
  <headerFooter alignWithMargins="0">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dimension ref="A1:J45"/>
  <sheetViews>
    <sheetView showGridLines="0" showZeros="0" defaultGridColor="0" colorId="8" zoomScaleNormal="100" workbookViewId="0">
      <selection activeCell="H22" sqref="H22"/>
    </sheetView>
  </sheetViews>
  <sheetFormatPr defaultColWidth="11.75" defaultRowHeight="12" customHeight="1"/>
  <cols>
    <col min="1" max="1" width="2.25" style="423" customWidth="1"/>
    <col min="2" max="2" width="21.5" style="423" customWidth="1"/>
    <col min="3" max="3" width="3.25" style="423" customWidth="1"/>
    <col min="4" max="4" width="12.625" style="423" customWidth="1"/>
    <col min="5" max="5" width="12" style="423" customWidth="1"/>
    <col min="6" max="6" width="11.5" style="423" customWidth="1"/>
    <col min="7" max="7" width="1.75" style="423" customWidth="1"/>
    <col min="8" max="8" width="35.875" style="423" customWidth="1"/>
    <col min="9" max="9" width="3.125" style="423" customWidth="1"/>
    <col min="10" max="16384" width="11.75" style="423"/>
  </cols>
  <sheetData>
    <row r="1" spans="1:10" s="433" customFormat="1" ht="20.25" customHeight="1">
      <c r="A1" s="1096" t="str">
        <f>'99'!A90&amp;": UNDERGRADUATE ADMISSIONS SURVEY"</f>
        <v>FALL 2021: UNDERGRADUATE ADMISSIONS SURVEY</v>
      </c>
      <c r="B1" s="1182"/>
      <c r="C1" s="1182"/>
      <c r="D1" s="1182"/>
      <c r="E1" s="1182"/>
      <c r="F1" s="1182"/>
      <c r="G1" s="1182"/>
      <c r="H1" s="1182"/>
      <c r="I1" s="479">
        <f>IF(COUNT(D11:F44)&gt;0,1,0)</f>
        <v>1</v>
      </c>
      <c r="J1" s="433">
        <v>0</v>
      </c>
    </row>
    <row r="2" spans="1:10" s="433" customFormat="1" ht="13.5" customHeight="1">
      <c r="A2" s="536" t="str">
        <f>+'99'!A2</f>
        <v>2122</v>
      </c>
      <c r="B2" s="432"/>
      <c r="C2" s="432"/>
      <c r="D2" s="432"/>
      <c r="E2" s="432"/>
      <c r="F2" s="432"/>
      <c r="G2" s="432" t="s">
        <v>61</v>
      </c>
      <c r="H2" s="432"/>
      <c r="I2" s="479">
        <f>IF(F11=0,0,IF(F11=H10,0,1))</f>
        <v>0</v>
      </c>
    </row>
    <row r="3" spans="1:10" s="433" customFormat="1" ht="12" customHeight="1" thickBot="1">
      <c r="A3" s="30" t="str">
        <f>'99'!A3</f>
        <v>Western Connecticut State University</v>
      </c>
      <c r="B3" s="453"/>
      <c r="C3" s="432"/>
      <c r="D3" s="432"/>
      <c r="G3" s="196" t="s">
        <v>195</v>
      </c>
      <c r="H3" s="78" t="str">
        <f>'99'!N3</f>
        <v>Jerry Wilcox</v>
      </c>
      <c r="I3" s="79"/>
    </row>
    <row r="4" spans="1:10" s="433" customFormat="1" ht="11.25" customHeight="1" thickBot="1">
      <c r="A4" s="1094">
        <f>'99'!A4</f>
        <v>130776</v>
      </c>
      <c r="B4" s="1180"/>
      <c r="G4" s="196" t="s">
        <v>196</v>
      </c>
      <c r="H4" s="78" t="str">
        <f>'99'!N4</f>
        <v>Director, Institutional Research and Assessment</v>
      </c>
      <c r="I4" s="78"/>
    </row>
    <row r="5" spans="1:10" s="433" customFormat="1" ht="15" customHeight="1" thickBot="1">
      <c r="A5" s="388" t="str">
        <f>'99'!A5</f>
        <v>Danbury</v>
      </c>
      <c r="B5" s="453"/>
      <c r="C5" s="389"/>
      <c r="D5" s="389"/>
      <c r="G5" s="196" t="s">
        <v>197</v>
      </c>
      <c r="H5" s="281" t="str">
        <f>'99'!N5</f>
        <v>203-837-8242</v>
      </c>
      <c r="I5" s="434"/>
    </row>
    <row r="6" spans="1:10" s="433" customFormat="1" ht="15" customHeight="1" thickBot="1">
      <c r="A6" s="456"/>
      <c r="C6" s="389"/>
      <c r="D6" s="389"/>
      <c r="E6" s="389"/>
      <c r="G6" s="475" t="s">
        <v>392</v>
      </c>
      <c r="H6" s="476"/>
      <c r="I6" s="477"/>
      <c r="J6" s="478"/>
    </row>
    <row r="7" spans="1:10" s="435" customFormat="1" ht="15" customHeight="1">
      <c r="C7" s="436"/>
      <c r="D7" s="437" t="s">
        <v>393</v>
      </c>
      <c r="E7" s="437" t="s">
        <v>394</v>
      </c>
      <c r="F7" s="437" t="s">
        <v>395</v>
      </c>
    </row>
    <row r="8" spans="1:10" s="438" customFormat="1" ht="49.5" customHeight="1">
      <c r="A8" s="457"/>
      <c r="B8" s="435"/>
      <c r="D8" s="439" t="s">
        <v>396</v>
      </c>
      <c r="E8" s="440" t="s">
        <v>397</v>
      </c>
      <c r="F8" s="441" t="s">
        <v>398</v>
      </c>
    </row>
    <row r="9" spans="1:10" s="438" customFormat="1" ht="12" customHeight="1">
      <c r="A9" s="416"/>
      <c r="B9" s="416"/>
      <c r="C9" s="417" t="s">
        <v>80</v>
      </c>
      <c r="D9" s="813" t="str">
        <f>"for "&amp;'99'!$A90</f>
        <v>for FALL 2021</v>
      </c>
      <c r="E9" s="813" t="str">
        <f>"for "&amp;'99'!$A90</f>
        <v>for FALL 2021</v>
      </c>
      <c r="F9" s="813" t="str">
        <f>"for "&amp;'99'!$A90</f>
        <v>for FALL 2021</v>
      </c>
      <c r="H9" s="700" t="s">
        <v>399</v>
      </c>
      <c r="I9" s="701"/>
    </row>
    <row r="10" spans="1:10" s="438" customFormat="1" ht="12.75" customHeight="1">
      <c r="A10" s="458" t="s">
        <v>400</v>
      </c>
      <c r="B10" s="442"/>
      <c r="C10" s="866"/>
      <c r="D10" s="863"/>
      <c r="E10" s="864"/>
      <c r="F10" s="865"/>
      <c r="H10" s="1097">
        <f>+'Res 1st-T'!C83</f>
        <v>733</v>
      </c>
      <c r="I10" s="702"/>
    </row>
    <row r="11" spans="1:10" ht="12" customHeight="1">
      <c r="A11" s="459" t="s">
        <v>401</v>
      </c>
      <c r="B11" s="444"/>
      <c r="C11" s="418">
        <v>1</v>
      </c>
      <c r="D11" s="424">
        <v>4688</v>
      </c>
      <c r="E11" s="425">
        <v>3978</v>
      </c>
      <c r="F11" s="424">
        <v>733</v>
      </c>
      <c r="H11" s="1098"/>
      <c r="I11" s="703"/>
      <c r="J11" s="423">
        <v>0</v>
      </c>
    </row>
    <row r="12" spans="1:10" ht="12" customHeight="1">
      <c r="A12" s="460"/>
      <c r="B12" s="445" t="s">
        <v>402</v>
      </c>
      <c r="C12" s="419">
        <v>2</v>
      </c>
      <c r="D12" s="426">
        <v>3269</v>
      </c>
      <c r="E12" s="426">
        <v>2792</v>
      </c>
      <c r="F12" s="426">
        <v>522</v>
      </c>
      <c r="H12" s="704"/>
      <c r="I12" s="703"/>
    </row>
    <row r="13" spans="1:10" ht="12" customHeight="1">
      <c r="A13" s="460"/>
      <c r="B13" s="445" t="s">
        <v>382</v>
      </c>
      <c r="C13" s="419">
        <v>3</v>
      </c>
      <c r="D13" s="426">
        <v>1390</v>
      </c>
      <c r="E13" s="426">
        <v>1179</v>
      </c>
      <c r="F13" s="426">
        <v>210</v>
      </c>
      <c r="H13" s="1099" t="s">
        <v>403</v>
      </c>
      <c r="I13" s="1100"/>
    </row>
    <row r="14" spans="1:10" ht="12" customHeight="1">
      <c r="A14" s="460"/>
      <c r="B14" s="445" t="s">
        <v>404</v>
      </c>
      <c r="C14" s="419">
        <v>4</v>
      </c>
      <c r="D14" s="426">
        <v>29</v>
      </c>
      <c r="E14" s="426">
        <v>7</v>
      </c>
      <c r="F14" s="426">
        <v>1</v>
      </c>
      <c r="H14" s="1101"/>
      <c r="I14" s="1100"/>
    </row>
    <row r="15" spans="1:10" ht="27" customHeight="1">
      <c r="A15" s="420"/>
      <c r="B15" s="420"/>
      <c r="C15" s="420"/>
      <c r="D15" s="427"/>
      <c r="E15" s="427"/>
      <c r="F15" s="428"/>
      <c r="H15" s="1101"/>
      <c r="I15" s="1100"/>
    </row>
    <row r="16" spans="1:10" ht="15" customHeight="1">
      <c r="A16" s="458" t="s">
        <v>405</v>
      </c>
      <c r="B16" s="446"/>
      <c r="C16" s="443"/>
      <c r="D16" s="834"/>
      <c r="E16" s="834"/>
      <c r="F16" s="834"/>
      <c r="H16" s="1102" t="str">
        <f>IF(I1=0,"",IF(H10=F11,"OK, No problem","Sorry: You have an ERROR"))</f>
        <v>OK, No problem</v>
      </c>
      <c r="I16" s="1103"/>
    </row>
    <row r="17" spans="1:9" ht="12" customHeight="1">
      <c r="A17" s="461" t="s">
        <v>406</v>
      </c>
      <c r="B17" s="447"/>
      <c r="C17" s="448"/>
      <c r="D17" s="835"/>
      <c r="E17" s="835"/>
      <c r="F17" s="835"/>
      <c r="H17" s="1104"/>
      <c r="I17" s="1105"/>
    </row>
    <row r="18" spans="1:9" ht="12" customHeight="1">
      <c r="A18" s="459"/>
      <c r="B18" s="444" t="s">
        <v>407</v>
      </c>
      <c r="C18" s="418">
        <v>5</v>
      </c>
      <c r="D18" s="960" t="s">
        <v>408</v>
      </c>
      <c r="E18" s="424"/>
      <c r="F18" s="424"/>
    </row>
    <row r="19" spans="1:9" ht="12" customHeight="1">
      <c r="A19" s="460"/>
      <c r="B19" s="445" t="s">
        <v>409</v>
      </c>
      <c r="C19" s="419">
        <v>6</v>
      </c>
      <c r="D19" s="426"/>
      <c r="E19" s="426"/>
      <c r="F19" s="426"/>
    </row>
    <row r="20" spans="1:9" ht="12" customHeight="1">
      <c r="A20" s="460"/>
      <c r="B20" s="445" t="s">
        <v>410</v>
      </c>
      <c r="C20" s="419">
        <v>7</v>
      </c>
      <c r="D20" s="426"/>
      <c r="E20" s="426"/>
      <c r="F20" s="426"/>
    </row>
    <row r="21" spans="1:9" ht="12" customHeight="1">
      <c r="A21" s="460"/>
      <c r="B21" s="445" t="s">
        <v>411</v>
      </c>
      <c r="C21" s="419">
        <v>8</v>
      </c>
      <c r="D21" s="426"/>
      <c r="E21" s="426"/>
      <c r="F21" s="426"/>
    </row>
    <row r="22" spans="1:9" ht="12" customHeight="1" thickBot="1">
      <c r="A22" s="462"/>
      <c r="B22" s="449" t="s">
        <v>412</v>
      </c>
      <c r="C22" s="421">
        <v>9</v>
      </c>
      <c r="D22" s="429"/>
      <c r="E22" s="429"/>
      <c r="F22" s="429"/>
    </row>
    <row r="23" spans="1:9" ht="12" customHeight="1" thickTop="1">
      <c r="A23" s="459"/>
      <c r="B23" s="444" t="s">
        <v>413</v>
      </c>
      <c r="C23" s="418">
        <v>10</v>
      </c>
      <c r="D23" s="424"/>
      <c r="E23" s="424"/>
      <c r="F23" s="424"/>
    </row>
    <row r="24" spans="1:9" ht="12" customHeight="1">
      <c r="A24" s="460"/>
      <c r="B24" s="445" t="s">
        <v>414</v>
      </c>
      <c r="C24" s="419">
        <v>11</v>
      </c>
      <c r="D24" s="426"/>
      <c r="E24" s="426"/>
      <c r="F24" s="426"/>
    </row>
    <row r="25" spans="1:9" ht="12" customHeight="1">
      <c r="A25" s="420"/>
      <c r="B25" s="420"/>
      <c r="C25" s="420"/>
      <c r="D25" s="427"/>
      <c r="E25" s="427"/>
      <c r="F25" s="428"/>
    </row>
    <row r="26" spans="1:9" ht="12" customHeight="1">
      <c r="A26" s="463" t="s">
        <v>415</v>
      </c>
      <c r="B26" s="442"/>
      <c r="C26" s="443"/>
      <c r="D26" s="834"/>
      <c r="E26" s="834"/>
      <c r="F26" s="834"/>
    </row>
    <row r="27" spans="1:9" ht="12" customHeight="1">
      <c r="A27" s="459"/>
      <c r="B27" s="444" t="s">
        <v>407</v>
      </c>
      <c r="C27" s="418">
        <v>12</v>
      </c>
      <c r="D27" s="960" t="s">
        <v>408</v>
      </c>
      <c r="E27" s="424"/>
      <c r="F27" s="424"/>
    </row>
    <row r="28" spans="1:9" ht="12" customHeight="1">
      <c r="A28" s="460"/>
      <c r="B28" s="445" t="s">
        <v>409</v>
      </c>
      <c r="C28" s="419">
        <v>13</v>
      </c>
      <c r="D28" s="426"/>
      <c r="E28" s="426"/>
      <c r="F28" s="426"/>
    </row>
    <row r="29" spans="1:9" ht="12" customHeight="1">
      <c r="A29" s="460"/>
      <c r="B29" s="445" t="s">
        <v>410</v>
      </c>
      <c r="C29" s="419">
        <v>14</v>
      </c>
      <c r="D29" s="426"/>
      <c r="E29" s="426"/>
      <c r="F29" s="426"/>
    </row>
    <row r="30" spans="1:9" ht="12" customHeight="1">
      <c r="A30" s="460"/>
      <c r="B30" s="445" t="s">
        <v>411</v>
      </c>
      <c r="C30" s="419">
        <v>15</v>
      </c>
      <c r="D30" s="426"/>
      <c r="E30" s="426"/>
      <c r="F30" s="426"/>
    </row>
    <row r="31" spans="1:9" ht="12" customHeight="1" thickBot="1">
      <c r="A31" s="462"/>
      <c r="B31" s="449" t="s">
        <v>412</v>
      </c>
      <c r="C31" s="421">
        <v>16</v>
      </c>
      <c r="D31" s="429"/>
      <c r="E31" s="429"/>
      <c r="F31" s="429"/>
    </row>
    <row r="32" spans="1:9" ht="12" customHeight="1" thickTop="1">
      <c r="A32" s="459"/>
      <c r="B32" s="444" t="s">
        <v>413</v>
      </c>
      <c r="C32" s="418">
        <v>17</v>
      </c>
      <c r="D32" s="424"/>
      <c r="E32" s="424"/>
      <c r="F32" s="424"/>
    </row>
    <row r="33" spans="1:6" ht="12" customHeight="1">
      <c r="A33" s="460"/>
      <c r="B33" s="445" t="s">
        <v>414</v>
      </c>
      <c r="C33" s="419">
        <v>18</v>
      </c>
      <c r="D33" s="426"/>
      <c r="E33" s="426"/>
      <c r="F33" s="426"/>
    </row>
    <row r="34" spans="1:6" ht="12" customHeight="1">
      <c r="A34" s="422"/>
      <c r="B34" s="422"/>
      <c r="C34" s="422"/>
      <c r="D34" s="430"/>
      <c r="E34" s="430"/>
      <c r="F34" s="431"/>
    </row>
    <row r="35" spans="1:6" ht="12" customHeight="1">
      <c r="A35" s="461" t="s">
        <v>416</v>
      </c>
      <c r="B35" s="447"/>
      <c r="C35" s="448"/>
      <c r="D35" s="835"/>
      <c r="E35" s="835"/>
      <c r="F35" s="835"/>
    </row>
    <row r="36" spans="1:6" ht="12" customHeight="1">
      <c r="A36" s="459"/>
      <c r="B36" s="444" t="s">
        <v>417</v>
      </c>
      <c r="C36" s="418">
        <v>19</v>
      </c>
      <c r="D36" s="960" t="s">
        <v>408</v>
      </c>
      <c r="E36" s="424"/>
      <c r="F36" s="424"/>
    </row>
    <row r="37" spans="1:6" ht="12" customHeight="1">
      <c r="A37" s="460"/>
      <c r="B37" s="444" t="s">
        <v>418</v>
      </c>
      <c r="C37" s="419">
        <v>20</v>
      </c>
      <c r="D37" s="426"/>
      <c r="E37" s="426"/>
      <c r="F37" s="426"/>
    </row>
    <row r="38" spans="1:6" ht="12" customHeight="1">
      <c r="A38" s="460"/>
      <c r="B38" s="444" t="s">
        <v>419</v>
      </c>
      <c r="C38" s="419">
        <v>21</v>
      </c>
      <c r="D38" s="426"/>
      <c r="E38" s="426"/>
      <c r="F38" s="426"/>
    </row>
    <row r="39" spans="1:6" ht="12" customHeight="1">
      <c r="A39" s="460"/>
      <c r="B39" s="444" t="s">
        <v>420</v>
      </c>
      <c r="C39" s="419">
        <v>22</v>
      </c>
      <c r="D39" s="426"/>
      <c r="E39" s="426"/>
      <c r="F39" s="426"/>
    </row>
    <row r="40" spans="1:6" ht="12" customHeight="1">
      <c r="A40" s="460"/>
      <c r="B40" s="444" t="s">
        <v>421</v>
      </c>
      <c r="C40" s="419">
        <v>23</v>
      </c>
      <c r="D40" s="426"/>
      <c r="E40" s="426"/>
      <c r="F40" s="426"/>
    </row>
    <row r="41" spans="1:6" ht="12" customHeight="1">
      <c r="A41" s="460"/>
      <c r="B41" s="444" t="s">
        <v>422</v>
      </c>
      <c r="C41" s="419">
        <v>24</v>
      </c>
      <c r="D41" s="426"/>
      <c r="E41" s="426"/>
      <c r="F41" s="426"/>
    </row>
    <row r="42" spans="1:6" ht="12" customHeight="1" thickBot="1">
      <c r="A42" s="462"/>
      <c r="B42" s="449" t="s">
        <v>423</v>
      </c>
      <c r="C42" s="421">
        <v>25</v>
      </c>
      <c r="D42" s="429"/>
      <c r="E42" s="429"/>
      <c r="F42" s="429"/>
    </row>
    <row r="43" spans="1:6" ht="12" customHeight="1" thickTop="1">
      <c r="A43" s="459"/>
      <c r="B43" s="444" t="s">
        <v>424</v>
      </c>
      <c r="C43" s="418">
        <v>26</v>
      </c>
      <c r="D43" s="424"/>
      <c r="E43" s="424"/>
      <c r="F43" s="424"/>
    </row>
    <row r="44" spans="1:6" ht="12" customHeight="1">
      <c r="A44" s="460"/>
      <c r="B44" s="445" t="s">
        <v>425</v>
      </c>
      <c r="C44" s="419">
        <v>27</v>
      </c>
      <c r="D44" s="426"/>
      <c r="E44" s="426"/>
      <c r="F44" s="426"/>
    </row>
    <row r="45" spans="1:6" ht="12" customHeight="1">
      <c r="A45" s="389"/>
      <c r="B45" s="389"/>
      <c r="C45" s="389"/>
      <c r="D45" s="389"/>
      <c r="E45" s="389"/>
      <c r="F45" s="389"/>
    </row>
  </sheetData>
  <mergeCells count="5">
    <mergeCell ref="A1:H1"/>
    <mergeCell ref="H10:H11"/>
    <mergeCell ref="H13:I15"/>
    <mergeCell ref="H16:I17"/>
    <mergeCell ref="A4:B4"/>
  </mergeCells>
  <phoneticPr fontId="54" type="noConversion"/>
  <pageMargins left="0.5" right="0.5" top="0.75" bottom="0.75" header="0.5" footer="0.5"/>
  <pageSetup scale="120" fitToWidth="0" fitToHeight="0" orientation="portrait" horizontalDpi="300" verticalDpi="300" r:id="rId1"/>
  <headerFooter alignWithMargins="0">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9">
    <pageSetUpPr fitToPage="1"/>
  </sheetPr>
  <dimension ref="A1:L62"/>
  <sheetViews>
    <sheetView showGridLines="0" showZeros="0" defaultGridColor="0" colorId="8" zoomScaleNormal="100" zoomScaleSheetLayoutView="75" workbookViewId="0">
      <selection activeCell="L45" sqref="L45"/>
    </sheetView>
  </sheetViews>
  <sheetFormatPr defaultColWidth="11.75" defaultRowHeight="13.15"/>
  <cols>
    <col min="1" max="1" width="2.5" style="469" customWidth="1"/>
    <col min="2" max="2" width="36.75" style="469" customWidth="1"/>
    <col min="3" max="3" width="3.625" style="469" customWidth="1"/>
    <col min="4" max="4" width="6.375" style="469" customWidth="1"/>
    <col min="5" max="5" width="7" style="469" customWidth="1"/>
    <col min="6" max="6" width="7.875" style="469" customWidth="1"/>
    <col min="7" max="7" width="3.75" style="469" customWidth="1"/>
    <col min="8" max="8" width="32.625" style="469" customWidth="1"/>
    <col min="9" max="9" width="3.875" style="469" customWidth="1"/>
    <col min="10" max="10" width="6.875" style="469" customWidth="1"/>
    <col min="11" max="11" width="7.25" style="469" customWidth="1"/>
    <col min="12" max="12" width="8.5" style="469" customWidth="1"/>
    <col min="13" max="16384" width="11.75" style="469"/>
  </cols>
  <sheetData>
    <row r="1" spans="1:12" s="464" customFormat="1" ht="27.6">
      <c r="A1" s="1106" t="str">
        <f>"UNDERGRADUATE TRANSFER SURVEY: "&amp;'99'!A90</f>
        <v>UNDERGRADUATE TRANSFER SURVEY: FALL 2021</v>
      </c>
      <c r="B1" s="1106"/>
      <c r="C1" s="1106"/>
      <c r="D1" s="1106"/>
      <c r="E1" s="1106"/>
      <c r="F1" s="1106"/>
      <c r="G1" s="1106"/>
      <c r="H1" s="1106"/>
      <c r="I1" s="468"/>
      <c r="J1" s="468"/>
      <c r="K1" s="468"/>
      <c r="L1" s="561">
        <f>IF(COUNT(D17:E21,D24:E39,D43:E47,J13:K32,J37:K45)&gt;0,1,0)</f>
        <v>1</v>
      </c>
    </row>
    <row r="2" spans="1:12" s="464" customFormat="1">
      <c r="A2" s="566" t="str">
        <f>'99'!A2</f>
        <v>2122</v>
      </c>
      <c r="B2" s="468"/>
      <c r="C2" s="468"/>
      <c r="D2" s="468"/>
      <c r="E2" s="468"/>
      <c r="F2" s="468"/>
      <c r="G2" s="468"/>
      <c r="H2" s="468"/>
      <c r="I2" s="468"/>
      <c r="J2" s="468"/>
      <c r="K2" s="468"/>
      <c r="L2" s="561">
        <f>COUNTIF(F13:F47,"=ERROR")+COUNTIF(L13:L47,"=ERROR")</f>
        <v>0</v>
      </c>
    </row>
    <row r="3" spans="1:12" s="464" customFormat="1" ht="13.9" thickBot="1">
      <c r="A3" s="30" t="str">
        <f>'99'!A3</f>
        <v>Western Connecticut State University</v>
      </c>
      <c r="B3" s="453"/>
      <c r="C3" s="468"/>
      <c r="D3" s="1111" t="str">
        <f>IF(L1&gt;0,IF(L2&gt;0,"ERROR",""),"")</f>
        <v/>
      </c>
      <c r="E3" s="1112"/>
      <c r="F3" s="1112"/>
      <c r="G3" s="1112"/>
      <c r="H3" s="196" t="s">
        <v>195</v>
      </c>
      <c r="I3" s="78" t="str">
        <f>'99'!N3</f>
        <v>Jerry Wilcox</v>
      </c>
      <c r="J3" s="79"/>
      <c r="K3" s="473"/>
    </row>
    <row r="4" spans="1:12" s="464" customFormat="1" ht="13.9" thickBot="1">
      <c r="A4" s="1094">
        <f>+'99'!A4</f>
        <v>130776</v>
      </c>
      <c r="B4" s="1180"/>
      <c r="D4" s="1112"/>
      <c r="E4" s="1112"/>
      <c r="F4" s="1112"/>
      <c r="G4" s="1112"/>
      <c r="H4" s="196" t="s">
        <v>196</v>
      </c>
      <c r="I4" s="78" t="str">
        <f>'99'!N4</f>
        <v>Director, Institutional Research and Assessment</v>
      </c>
      <c r="J4" s="78"/>
      <c r="K4" s="474"/>
    </row>
    <row r="5" spans="1:12" s="464" customFormat="1" ht="16.149999999999999" thickBot="1">
      <c r="A5" s="30" t="str">
        <f>'99'!A5</f>
        <v>Danbury</v>
      </c>
      <c r="B5" s="453"/>
      <c r="D5" s="1112"/>
      <c r="E5" s="1112"/>
      <c r="F5" s="1112"/>
      <c r="G5" s="1112"/>
      <c r="H5" s="196" t="s">
        <v>197</v>
      </c>
      <c r="I5" s="1041" t="str">
        <f>+'99'!N5</f>
        <v>203-837-8242</v>
      </c>
      <c r="J5" s="1152"/>
      <c r="K5" s="1152"/>
    </row>
    <row r="6" spans="1:12" s="464" customFormat="1" ht="16.149999999999999" thickBot="1">
      <c r="A6" s="465"/>
      <c r="D6" s="1112"/>
      <c r="E6" s="1112"/>
      <c r="F6" s="1112"/>
      <c r="G6" s="1112"/>
      <c r="H6" s="475" t="s">
        <v>392</v>
      </c>
      <c r="I6" s="1109"/>
      <c r="J6" s="1110"/>
      <c r="K6" s="1110"/>
    </row>
    <row r="7" spans="1:12" s="464" customFormat="1" ht="7.5" customHeight="1">
      <c r="A7" s="465"/>
    </row>
    <row r="8" spans="1:12" s="465" customFormat="1">
      <c r="A8" s="490"/>
      <c r="B8" s="491"/>
      <c r="C8" s="492"/>
      <c r="D8" s="493" t="s">
        <v>426</v>
      </c>
      <c r="E8" s="493" t="s">
        <v>427</v>
      </c>
      <c r="F8" s="472"/>
      <c r="G8" s="494"/>
      <c r="H8" s="491"/>
      <c r="I8" s="492"/>
      <c r="J8" s="493" t="s">
        <v>426</v>
      </c>
      <c r="K8" s="493" t="s">
        <v>427</v>
      </c>
    </row>
    <row r="9" spans="1:12" s="465" customFormat="1">
      <c r="A9" s="495"/>
      <c r="B9" s="496"/>
      <c r="C9" s="497"/>
      <c r="D9" s="498" t="s">
        <v>300</v>
      </c>
      <c r="E9" s="497"/>
      <c r="F9" s="472"/>
      <c r="G9" s="499"/>
      <c r="H9" s="496"/>
      <c r="I9" s="497"/>
      <c r="J9" s="498" t="s">
        <v>300</v>
      </c>
      <c r="K9" s="498"/>
    </row>
    <row r="10" spans="1:12" s="465" customFormat="1">
      <c r="A10" s="495"/>
      <c r="B10" s="496"/>
      <c r="C10" s="497"/>
      <c r="D10" s="498" t="s">
        <v>428</v>
      </c>
      <c r="E10" s="498" t="s">
        <v>428</v>
      </c>
      <c r="F10" s="472"/>
      <c r="G10" s="499"/>
      <c r="H10" s="496"/>
      <c r="I10" s="497"/>
      <c r="J10" s="498" t="s">
        <v>428</v>
      </c>
      <c r="K10" s="498" t="s">
        <v>428</v>
      </c>
    </row>
    <row r="11" spans="1:12" s="465" customFormat="1">
      <c r="A11" s="495"/>
      <c r="B11" s="496" t="s">
        <v>429</v>
      </c>
      <c r="C11" s="497" t="s">
        <v>80</v>
      </c>
      <c r="D11" s="498" t="s">
        <v>430</v>
      </c>
      <c r="E11" s="498" t="s">
        <v>431</v>
      </c>
      <c r="F11" s="472"/>
      <c r="G11" s="499"/>
      <c r="H11" s="496" t="s">
        <v>429</v>
      </c>
      <c r="I11" s="497" t="s">
        <v>80</v>
      </c>
      <c r="J11" s="498" t="s">
        <v>430</v>
      </c>
      <c r="K11" s="498" t="s">
        <v>431</v>
      </c>
    </row>
    <row r="12" spans="1:12" s="465" customFormat="1">
      <c r="A12" s="500"/>
      <c r="B12" s="501" t="s">
        <v>432</v>
      </c>
      <c r="C12" s="502" t="s">
        <v>85</v>
      </c>
      <c r="D12" s="503" t="s">
        <v>433</v>
      </c>
      <c r="E12" s="503" t="s">
        <v>434</v>
      </c>
      <c r="F12" s="472"/>
      <c r="G12" s="504"/>
      <c r="H12" s="501" t="s">
        <v>435</v>
      </c>
      <c r="I12" s="502" t="s">
        <v>85</v>
      </c>
      <c r="J12" s="503" t="s">
        <v>433</v>
      </c>
      <c r="K12" s="503" t="s">
        <v>434</v>
      </c>
    </row>
    <row r="13" spans="1:12" ht="40.9">
      <c r="A13" s="574" t="s">
        <v>436</v>
      </c>
      <c r="B13" s="575" t="s">
        <v>437</v>
      </c>
      <c r="C13" s="505">
        <v>1</v>
      </c>
      <c r="D13" s="489">
        <f>+D15+D42</f>
        <v>163</v>
      </c>
      <c r="E13" s="489">
        <f>+E15+E42</f>
        <v>156</v>
      </c>
      <c r="F13" s="567" t="str">
        <f>IF(E13&gt;D13,"ERROR","")</f>
        <v/>
      </c>
      <c r="G13" s="507"/>
      <c r="H13" s="573" t="s">
        <v>438</v>
      </c>
      <c r="I13" s="506">
        <v>31</v>
      </c>
      <c r="J13" s="470"/>
      <c r="K13" s="470"/>
      <c r="L13" s="569" t="str">
        <f t="shared" ref="L13:L32" si="0">IF(K13&gt;J13,"ERROR","")</f>
        <v/>
      </c>
    </row>
    <row r="14" spans="1:12" ht="15.6">
      <c r="A14" s="705"/>
      <c r="B14" s="706"/>
      <c r="C14" s="706"/>
      <c r="D14" s="707"/>
      <c r="E14" s="707"/>
      <c r="F14" s="568"/>
      <c r="G14" s="507"/>
      <c r="H14" s="573" t="s">
        <v>439</v>
      </c>
      <c r="I14" s="506">
        <v>32</v>
      </c>
      <c r="J14" s="470"/>
      <c r="K14" s="470"/>
      <c r="L14" s="569" t="str">
        <f t="shared" si="0"/>
        <v/>
      </c>
    </row>
    <row r="15" spans="1:12" ht="17.45">
      <c r="A15" s="576" t="s">
        <v>440</v>
      </c>
      <c r="B15" s="577" t="s">
        <v>441</v>
      </c>
      <c r="C15" s="571" t="s">
        <v>442</v>
      </c>
      <c r="D15" s="489">
        <f>+D16+D23+D37+D39</f>
        <v>154</v>
      </c>
      <c r="E15" s="489">
        <f>+E16+E23+E37+E39</f>
        <v>149</v>
      </c>
      <c r="F15" s="567" t="str">
        <f t="shared" ref="F15:F21" si="1">IF(E15&gt;D15,"ERROR","")</f>
        <v/>
      </c>
      <c r="G15" s="507"/>
      <c r="H15" s="573" t="s">
        <v>443</v>
      </c>
      <c r="I15" s="506">
        <v>33</v>
      </c>
      <c r="J15" s="470"/>
      <c r="K15" s="470"/>
      <c r="L15" s="569" t="str">
        <f t="shared" si="0"/>
        <v/>
      </c>
    </row>
    <row r="16" spans="1:12" ht="15.6">
      <c r="A16" s="508" t="s">
        <v>307</v>
      </c>
      <c r="B16" s="572" t="s">
        <v>444</v>
      </c>
      <c r="C16" s="505">
        <v>2</v>
      </c>
      <c r="D16" s="489">
        <f>SUM(D17:D21)</f>
        <v>30</v>
      </c>
      <c r="E16" s="489">
        <f>SUM(E17:E21)</f>
        <v>28</v>
      </c>
      <c r="F16" s="567" t="str">
        <f t="shared" si="1"/>
        <v/>
      </c>
      <c r="G16" s="507"/>
      <c r="H16" s="573" t="s">
        <v>445</v>
      </c>
      <c r="I16" s="506">
        <v>34</v>
      </c>
      <c r="J16" s="470"/>
      <c r="K16" s="470"/>
      <c r="L16" s="569" t="str">
        <f t="shared" si="0"/>
        <v/>
      </c>
    </row>
    <row r="17" spans="1:12" ht="15.6">
      <c r="A17" s="507"/>
      <c r="B17" s="573" t="s">
        <v>446</v>
      </c>
      <c r="C17" s="506">
        <v>5</v>
      </c>
      <c r="D17" s="470">
        <v>17</v>
      </c>
      <c r="E17" s="470">
        <v>16</v>
      </c>
      <c r="F17" s="567" t="str">
        <f t="shared" si="1"/>
        <v/>
      </c>
      <c r="G17" s="507"/>
      <c r="H17" s="573" t="s">
        <v>447</v>
      </c>
      <c r="I17" s="506">
        <v>35</v>
      </c>
      <c r="J17" s="470"/>
      <c r="K17" s="470"/>
      <c r="L17" s="569" t="str">
        <f t="shared" si="0"/>
        <v/>
      </c>
    </row>
    <row r="18" spans="1:12" ht="15.6">
      <c r="A18" s="507"/>
      <c r="B18" s="573" t="s">
        <v>448</v>
      </c>
      <c r="C18" s="506">
        <v>6</v>
      </c>
      <c r="D18" s="470">
        <v>6</v>
      </c>
      <c r="E18" s="470">
        <v>5</v>
      </c>
      <c r="F18" s="567" t="str">
        <f t="shared" si="1"/>
        <v/>
      </c>
      <c r="G18" s="507"/>
      <c r="H18" s="573" t="s">
        <v>449</v>
      </c>
      <c r="I18" s="506">
        <v>36</v>
      </c>
      <c r="J18" s="470">
        <v>4</v>
      </c>
      <c r="K18" s="470">
        <v>3</v>
      </c>
      <c r="L18" s="569" t="str">
        <f t="shared" si="0"/>
        <v/>
      </c>
    </row>
    <row r="19" spans="1:12" ht="15.6">
      <c r="A19" s="507"/>
      <c r="B19" s="573" t="s">
        <v>450</v>
      </c>
      <c r="C19" s="506">
        <v>7</v>
      </c>
      <c r="D19" s="470">
        <v>2</v>
      </c>
      <c r="E19" s="470">
        <v>2</v>
      </c>
      <c r="F19" s="567" t="str">
        <f t="shared" si="1"/>
        <v/>
      </c>
      <c r="G19" s="507"/>
      <c r="H19" s="573" t="s">
        <v>451</v>
      </c>
      <c r="I19" s="506">
        <v>37</v>
      </c>
      <c r="J19" s="470"/>
      <c r="K19" s="470"/>
      <c r="L19" s="569" t="str">
        <f t="shared" si="0"/>
        <v/>
      </c>
    </row>
    <row r="20" spans="1:12" ht="15.6">
      <c r="A20" s="507"/>
      <c r="B20" s="573" t="s">
        <v>452</v>
      </c>
      <c r="C20" s="506">
        <v>8</v>
      </c>
      <c r="D20" s="470">
        <v>5</v>
      </c>
      <c r="E20" s="470">
        <v>5</v>
      </c>
      <c r="F20" s="567" t="str">
        <f t="shared" si="1"/>
        <v/>
      </c>
      <c r="G20" s="507"/>
      <c r="H20" s="573" t="s">
        <v>453</v>
      </c>
      <c r="I20" s="506">
        <v>38</v>
      </c>
      <c r="J20" s="470">
        <v>1</v>
      </c>
      <c r="K20" s="470">
        <v>1</v>
      </c>
      <c r="L20" s="569" t="str">
        <f t="shared" si="0"/>
        <v/>
      </c>
    </row>
    <row r="21" spans="1:12" ht="15.6">
      <c r="A21" s="507"/>
      <c r="B21" s="573" t="s">
        <v>9</v>
      </c>
      <c r="C21" s="506">
        <v>9</v>
      </c>
      <c r="D21" s="470">
        <v>0</v>
      </c>
      <c r="E21" s="470"/>
      <c r="F21" s="567" t="str">
        <f t="shared" si="1"/>
        <v/>
      </c>
      <c r="G21" s="507"/>
      <c r="H21" s="573" t="s">
        <v>454</v>
      </c>
      <c r="I21" s="506">
        <v>39</v>
      </c>
      <c r="J21" s="470"/>
      <c r="K21" s="470"/>
      <c r="L21" s="569" t="str">
        <f t="shared" si="0"/>
        <v/>
      </c>
    </row>
    <row r="22" spans="1:12" ht="15.6">
      <c r="A22" s="705"/>
      <c r="B22" s="706"/>
      <c r="C22" s="706"/>
      <c r="D22" s="707"/>
      <c r="E22" s="707"/>
      <c r="F22" s="568"/>
      <c r="G22" s="507"/>
      <c r="H22" s="573" t="s">
        <v>455</v>
      </c>
      <c r="I22" s="506">
        <v>40</v>
      </c>
      <c r="J22" s="470">
        <v>1</v>
      </c>
      <c r="K22" s="470">
        <v>1</v>
      </c>
      <c r="L22" s="569" t="str">
        <f t="shared" si="0"/>
        <v/>
      </c>
    </row>
    <row r="23" spans="1:12" ht="15.6">
      <c r="A23" s="508" t="s">
        <v>310</v>
      </c>
      <c r="B23" s="572" t="s">
        <v>456</v>
      </c>
      <c r="C23" s="505">
        <v>10</v>
      </c>
      <c r="D23" s="489">
        <f>SUM(D24:D35)</f>
        <v>123</v>
      </c>
      <c r="E23" s="489">
        <f>SUM(E24:E35)</f>
        <v>120</v>
      </c>
      <c r="F23" s="567" t="str">
        <f>IF(E23&gt;D23,"ERROR","")</f>
        <v/>
      </c>
      <c r="G23" s="507"/>
      <c r="H23" s="573" t="s">
        <v>457</v>
      </c>
      <c r="I23" s="506">
        <v>41</v>
      </c>
      <c r="J23" s="470">
        <v>1</v>
      </c>
      <c r="K23" s="470">
        <v>1</v>
      </c>
      <c r="L23" s="569" t="str">
        <f t="shared" si="0"/>
        <v/>
      </c>
    </row>
    <row r="24" spans="1:12" ht="15.6">
      <c r="A24" s="507"/>
      <c r="B24" s="573" t="s">
        <v>458</v>
      </c>
      <c r="C24" s="506">
        <v>11</v>
      </c>
      <c r="D24" s="470"/>
      <c r="E24" s="470"/>
      <c r="F24" s="567" t="str">
        <f t="shared" ref="F24:F35" si="2">IF(E24&gt;D24,"ERROR","")</f>
        <v/>
      </c>
      <c r="G24" s="507"/>
      <c r="H24" s="573" t="s">
        <v>459</v>
      </c>
      <c r="I24" s="506">
        <v>42</v>
      </c>
      <c r="J24" s="470">
        <v>1</v>
      </c>
      <c r="K24" s="470">
        <v>1</v>
      </c>
      <c r="L24" s="569" t="str">
        <f t="shared" si="0"/>
        <v/>
      </c>
    </row>
    <row r="25" spans="1:12" ht="15.6">
      <c r="A25" s="507"/>
      <c r="B25" s="573" t="s">
        <v>460</v>
      </c>
      <c r="C25" s="506">
        <v>12</v>
      </c>
      <c r="D25" s="470">
        <v>3</v>
      </c>
      <c r="E25" s="470">
        <v>3</v>
      </c>
      <c r="F25" s="567" t="str">
        <f t="shared" si="2"/>
        <v/>
      </c>
      <c r="G25" s="507"/>
      <c r="H25" s="573" t="s">
        <v>461</v>
      </c>
      <c r="I25" s="506">
        <v>43</v>
      </c>
      <c r="J25" s="470"/>
      <c r="K25" s="470"/>
      <c r="L25" s="569" t="str">
        <f t="shared" si="0"/>
        <v/>
      </c>
    </row>
    <row r="26" spans="1:12" ht="15.6">
      <c r="A26" s="507"/>
      <c r="B26" s="573" t="s">
        <v>462</v>
      </c>
      <c r="C26" s="506">
        <v>13</v>
      </c>
      <c r="D26" s="470">
        <v>1</v>
      </c>
      <c r="E26" s="470">
        <v>1</v>
      </c>
      <c r="F26" s="567" t="str">
        <f t="shared" si="2"/>
        <v/>
      </c>
      <c r="G26" s="507"/>
      <c r="H26" s="573" t="s">
        <v>463</v>
      </c>
      <c r="I26" s="506">
        <v>44</v>
      </c>
      <c r="J26" s="470"/>
      <c r="K26" s="470"/>
      <c r="L26" s="569" t="str">
        <f t="shared" si="0"/>
        <v/>
      </c>
    </row>
    <row r="27" spans="1:12" ht="15.6">
      <c r="A27" s="507"/>
      <c r="B27" s="573" t="s">
        <v>464</v>
      </c>
      <c r="C27" s="506">
        <v>14</v>
      </c>
      <c r="D27" s="470">
        <v>11</v>
      </c>
      <c r="E27" s="470">
        <v>11</v>
      </c>
      <c r="F27" s="567" t="str">
        <f t="shared" si="2"/>
        <v/>
      </c>
      <c r="G27" s="507"/>
      <c r="H27" s="573"/>
      <c r="I27" s="506"/>
      <c r="J27" s="470"/>
      <c r="K27" s="470"/>
      <c r="L27" s="569" t="str">
        <f t="shared" si="0"/>
        <v/>
      </c>
    </row>
    <row r="28" spans="1:12" ht="15.6">
      <c r="A28" s="507"/>
      <c r="B28" s="573" t="s">
        <v>465</v>
      </c>
      <c r="C28" s="506">
        <v>15</v>
      </c>
      <c r="D28" s="470">
        <v>2</v>
      </c>
      <c r="E28" s="470">
        <v>2</v>
      </c>
      <c r="F28" s="567" t="str">
        <f t="shared" si="2"/>
        <v/>
      </c>
      <c r="G28" s="507"/>
      <c r="H28" s="573"/>
      <c r="I28" s="506"/>
      <c r="J28" s="470"/>
      <c r="K28" s="470"/>
      <c r="L28" s="569" t="str">
        <f t="shared" si="0"/>
        <v/>
      </c>
    </row>
    <row r="29" spans="1:12" ht="15.6">
      <c r="A29" s="507"/>
      <c r="B29" s="573" t="s">
        <v>466</v>
      </c>
      <c r="C29" s="506">
        <v>16</v>
      </c>
      <c r="D29" s="470"/>
      <c r="E29" s="470"/>
      <c r="F29" s="567" t="str">
        <f t="shared" si="2"/>
        <v/>
      </c>
      <c r="G29" s="507"/>
      <c r="H29" s="573"/>
      <c r="I29" s="506"/>
      <c r="J29" s="470"/>
      <c r="K29" s="470"/>
      <c r="L29" s="569" t="str">
        <f t="shared" si="0"/>
        <v/>
      </c>
    </row>
    <row r="30" spans="1:12" ht="15.6">
      <c r="A30" s="507"/>
      <c r="B30" s="573" t="s">
        <v>467</v>
      </c>
      <c r="C30" s="506">
        <v>17</v>
      </c>
      <c r="D30" s="470">
        <v>78</v>
      </c>
      <c r="E30" s="470">
        <v>77</v>
      </c>
      <c r="F30" s="567" t="str">
        <f t="shared" si="2"/>
        <v/>
      </c>
      <c r="G30" s="507"/>
      <c r="H30" s="573"/>
      <c r="I30" s="506"/>
      <c r="J30" s="470"/>
      <c r="K30" s="470"/>
      <c r="L30" s="569" t="str">
        <f t="shared" si="0"/>
        <v/>
      </c>
    </row>
    <row r="31" spans="1:12" ht="15.6">
      <c r="A31" s="507"/>
      <c r="B31" s="573" t="s">
        <v>468</v>
      </c>
      <c r="C31" s="506">
        <v>18</v>
      </c>
      <c r="D31" s="470">
        <v>3</v>
      </c>
      <c r="E31" s="470">
        <v>3</v>
      </c>
      <c r="F31" s="567" t="str">
        <f t="shared" si="2"/>
        <v/>
      </c>
      <c r="G31" s="507"/>
      <c r="H31" s="573"/>
      <c r="I31" s="506"/>
      <c r="J31" s="470"/>
      <c r="K31" s="470"/>
      <c r="L31" s="569" t="str">
        <f t="shared" si="0"/>
        <v/>
      </c>
    </row>
    <row r="32" spans="1:12" ht="15.6">
      <c r="A32" s="507"/>
      <c r="B32" s="573" t="s">
        <v>469</v>
      </c>
      <c r="C32" s="506">
        <v>19</v>
      </c>
      <c r="D32" s="470">
        <v>24</v>
      </c>
      <c r="E32" s="470">
        <v>22</v>
      </c>
      <c r="F32" s="567" t="str">
        <f t="shared" si="2"/>
        <v/>
      </c>
      <c r="G32" s="507"/>
      <c r="H32" s="573"/>
      <c r="I32" s="506"/>
      <c r="J32" s="470"/>
      <c r="K32" s="470"/>
      <c r="L32" s="569" t="str">
        <f t="shared" si="0"/>
        <v/>
      </c>
    </row>
    <row r="33" spans="1:12" ht="15.6">
      <c r="A33" s="507"/>
      <c r="B33" s="573" t="s">
        <v>470</v>
      </c>
      <c r="C33" s="506">
        <v>20</v>
      </c>
      <c r="D33" s="470"/>
      <c r="E33" s="470"/>
      <c r="F33" s="569" t="str">
        <f t="shared" si="2"/>
        <v/>
      </c>
      <c r="G33" s="712"/>
      <c r="H33" s="710" t="s">
        <v>61</v>
      </c>
      <c r="I33" s="710" t="s">
        <v>61</v>
      </c>
      <c r="J33" s="713"/>
      <c r="K33" s="713"/>
      <c r="L33" s="570"/>
    </row>
    <row r="34" spans="1:12" ht="15.6">
      <c r="A34" s="507"/>
      <c r="B34" s="573" t="s">
        <v>471</v>
      </c>
      <c r="C34" s="506">
        <v>21</v>
      </c>
      <c r="D34" s="470">
        <v>1</v>
      </c>
      <c r="E34" s="470">
        <v>1</v>
      </c>
      <c r="F34" s="569" t="str">
        <f t="shared" si="2"/>
        <v/>
      </c>
      <c r="G34" s="570"/>
      <c r="H34" s="570"/>
      <c r="I34" s="570"/>
      <c r="J34" s="570"/>
      <c r="K34" s="570"/>
      <c r="L34" s="570"/>
    </row>
    <row r="35" spans="1:12" ht="15.6">
      <c r="A35" s="507"/>
      <c r="B35" s="573" t="s">
        <v>472</v>
      </c>
      <c r="C35" s="506">
        <v>22</v>
      </c>
      <c r="D35" s="470"/>
      <c r="E35" s="470"/>
      <c r="F35" s="569" t="str">
        <f t="shared" si="2"/>
        <v/>
      </c>
      <c r="G35" s="711"/>
      <c r="H35" s="711"/>
      <c r="I35" s="711"/>
      <c r="J35" s="711"/>
      <c r="K35" s="711"/>
      <c r="L35" s="570"/>
    </row>
    <row r="36" spans="1:12" ht="40.9">
      <c r="A36" s="705"/>
      <c r="B36" s="706"/>
      <c r="C36" s="706" t="s">
        <v>61</v>
      </c>
      <c r="D36" s="707"/>
      <c r="E36" s="707"/>
      <c r="F36" s="581"/>
      <c r="G36" s="579" t="s">
        <v>473</v>
      </c>
      <c r="H36" s="580" t="s">
        <v>474</v>
      </c>
      <c r="I36" s="505">
        <v>46</v>
      </c>
      <c r="J36" s="489">
        <f>SUM(J37:J41)</f>
        <v>131</v>
      </c>
      <c r="K36" s="489">
        <f>SUM(K37:K41)</f>
        <v>67</v>
      </c>
      <c r="L36" s="569" t="str">
        <f t="shared" ref="L36:L41" si="3">IF(K36&gt;J36,"ERROR","")</f>
        <v/>
      </c>
    </row>
    <row r="37" spans="1:12" ht="15.6">
      <c r="A37" s="508" t="s">
        <v>313</v>
      </c>
      <c r="B37" s="509" t="s">
        <v>475</v>
      </c>
      <c r="C37" s="506">
        <v>23</v>
      </c>
      <c r="D37" s="470">
        <v>1</v>
      </c>
      <c r="E37" s="470">
        <v>1</v>
      </c>
      <c r="F37" s="569" t="str">
        <f>IF(E37&gt;D37,"ERROR","")</f>
        <v/>
      </c>
      <c r="G37" s="507"/>
      <c r="H37" s="583" t="s">
        <v>476</v>
      </c>
      <c r="I37" s="506">
        <v>57</v>
      </c>
      <c r="J37" s="470">
        <v>42</v>
      </c>
      <c r="K37" s="470">
        <v>11</v>
      </c>
      <c r="L37" s="569" t="str">
        <f t="shared" si="3"/>
        <v/>
      </c>
    </row>
    <row r="38" spans="1:12" ht="15.6">
      <c r="A38" s="570"/>
      <c r="B38" s="570"/>
      <c r="C38" s="570"/>
      <c r="D38" s="570"/>
      <c r="E38" s="570"/>
      <c r="F38" s="570"/>
      <c r="G38" s="507"/>
      <c r="H38" s="583" t="s">
        <v>477</v>
      </c>
      <c r="I38" s="506">
        <v>48</v>
      </c>
      <c r="J38" s="470"/>
      <c r="K38" s="470"/>
      <c r="L38" s="569" t="str">
        <f t="shared" si="3"/>
        <v/>
      </c>
    </row>
    <row r="39" spans="1:12" ht="15.6">
      <c r="A39" s="508" t="s">
        <v>316</v>
      </c>
      <c r="B39" s="509" t="s">
        <v>478</v>
      </c>
      <c r="C39" s="506">
        <v>24</v>
      </c>
      <c r="D39" s="470">
        <v>0</v>
      </c>
      <c r="E39" s="470">
        <v>0</v>
      </c>
      <c r="F39" s="567" t="str">
        <f>IF(E39&gt;D39,"ERROR","")</f>
        <v/>
      </c>
      <c r="G39" s="507"/>
      <c r="H39" s="583" t="s">
        <v>479</v>
      </c>
      <c r="I39" s="506">
        <v>49</v>
      </c>
      <c r="J39" s="470">
        <v>28</v>
      </c>
      <c r="K39" s="470">
        <v>16</v>
      </c>
      <c r="L39" s="569" t="str">
        <f t="shared" si="3"/>
        <v/>
      </c>
    </row>
    <row r="40" spans="1:12" ht="15.6">
      <c r="A40" s="570"/>
      <c r="B40" s="570"/>
      <c r="C40" s="570"/>
      <c r="D40" s="570"/>
      <c r="E40" s="570"/>
      <c r="F40" s="570"/>
      <c r="G40" s="507"/>
      <c r="H40" s="583" t="s">
        <v>480</v>
      </c>
      <c r="I40" s="506">
        <v>50</v>
      </c>
      <c r="J40" s="470">
        <v>61</v>
      </c>
      <c r="K40" s="470">
        <v>40</v>
      </c>
      <c r="L40" s="569" t="str">
        <f t="shared" si="3"/>
        <v/>
      </c>
    </row>
    <row r="41" spans="1:12" ht="15.6">
      <c r="A41" s="570"/>
      <c r="B41" s="570"/>
      <c r="C41" s="570"/>
      <c r="D41" s="570"/>
      <c r="E41" s="570"/>
      <c r="F41" s="570"/>
      <c r="G41" s="507"/>
      <c r="H41" s="584" t="s">
        <v>481</v>
      </c>
      <c r="I41" s="506">
        <v>51</v>
      </c>
      <c r="J41" s="470"/>
      <c r="K41" s="470"/>
      <c r="L41" s="569" t="str">
        <f t="shared" si="3"/>
        <v/>
      </c>
    </row>
    <row r="42" spans="1:12" ht="17.45">
      <c r="A42" s="510" t="s">
        <v>482</v>
      </c>
      <c r="B42" s="578" t="s">
        <v>483</v>
      </c>
      <c r="C42" s="505">
        <v>25</v>
      </c>
      <c r="D42" s="489">
        <f>SUM(D43:D47)+SUM(J13:J32)</f>
        <v>9</v>
      </c>
      <c r="E42" s="489">
        <f>SUM(E43:E47)+SUM(K13:K32)</f>
        <v>7</v>
      </c>
      <c r="F42" s="569" t="str">
        <f t="shared" ref="F42:F47" si="4">IF(E42&gt;D42,"ERROR","")</f>
        <v/>
      </c>
      <c r="G42" s="710"/>
      <c r="H42" s="710"/>
      <c r="I42" s="710"/>
      <c r="J42" s="710"/>
      <c r="K42" s="710"/>
      <c r="L42" s="582"/>
    </row>
    <row r="43" spans="1:12" ht="15.6">
      <c r="A43" s="507"/>
      <c r="B43" s="573" t="s">
        <v>484</v>
      </c>
      <c r="C43" s="506">
        <v>26</v>
      </c>
      <c r="D43" s="470"/>
      <c r="E43" s="470"/>
      <c r="F43" s="569" t="str">
        <f t="shared" si="4"/>
        <v/>
      </c>
      <c r="G43" s="570"/>
      <c r="H43" s="570"/>
      <c r="I43" s="570"/>
      <c r="J43" s="570"/>
      <c r="K43" s="570"/>
      <c r="L43" s="570"/>
    </row>
    <row r="44" spans="1:12" ht="15.6">
      <c r="A44" s="507"/>
      <c r="B44" s="573" t="s">
        <v>485</v>
      </c>
      <c r="C44" s="506">
        <v>27</v>
      </c>
      <c r="D44" s="470">
        <v>1</v>
      </c>
      <c r="E44" s="470">
        <v>0</v>
      </c>
      <c r="F44" s="569" t="str">
        <f t="shared" si="4"/>
        <v/>
      </c>
      <c r="G44" s="711"/>
      <c r="H44" s="711"/>
      <c r="I44" s="711"/>
      <c r="J44" s="711"/>
      <c r="K44" s="711"/>
      <c r="L44" s="570"/>
    </row>
    <row r="45" spans="1:12" ht="61.15">
      <c r="A45" s="507"/>
      <c r="B45" s="573" t="s">
        <v>486</v>
      </c>
      <c r="C45" s="506">
        <v>28</v>
      </c>
      <c r="D45" s="470"/>
      <c r="E45" s="470"/>
      <c r="F45" s="569" t="str">
        <f t="shared" si="4"/>
        <v/>
      </c>
      <c r="G45" s="579" t="s">
        <v>487</v>
      </c>
      <c r="H45" s="575" t="s">
        <v>488</v>
      </c>
      <c r="I45" s="505">
        <v>52</v>
      </c>
      <c r="J45" s="471">
        <v>20</v>
      </c>
      <c r="K45" s="471">
        <v>16</v>
      </c>
      <c r="L45" s="569" t="str">
        <f>IF(K45&gt;J45,"ERROR","")</f>
        <v/>
      </c>
    </row>
    <row r="46" spans="1:12" ht="15.6">
      <c r="A46" s="507"/>
      <c r="B46" s="573" t="s">
        <v>489</v>
      </c>
      <c r="C46" s="506">
        <v>29</v>
      </c>
      <c r="D46" s="470"/>
      <c r="E46" s="470"/>
      <c r="F46" s="569" t="str">
        <f t="shared" si="4"/>
        <v/>
      </c>
      <c r="G46" s="708"/>
      <c r="H46" s="708"/>
      <c r="I46" s="708"/>
      <c r="J46" s="709"/>
      <c r="K46" s="709"/>
      <c r="L46"/>
    </row>
    <row r="47" spans="1:12" ht="21" customHeight="1">
      <c r="A47" s="507"/>
      <c r="B47" s="573" t="s">
        <v>490</v>
      </c>
      <c r="C47" s="506">
        <v>30</v>
      </c>
      <c r="D47" s="470"/>
      <c r="E47" s="470"/>
      <c r="F47" s="569" t="str">
        <f t="shared" si="4"/>
        <v/>
      </c>
      <c r="G47" s="1107" t="s">
        <v>491</v>
      </c>
      <c r="H47" s="1108"/>
      <c r="I47" s="505">
        <v>53</v>
      </c>
      <c r="J47" s="489">
        <f>J45+J36+D13</f>
        <v>314</v>
      </c>
      <c r="K47" s="489">
        <f>K45+K36+E13</f>
        <v>239</v>
      </c>
      <c r="L47" s="569" t="str">
        <f>IF(K47&gt;J47,"ERROR","")</f>
        <v/>
      </c>
    </row>
    <row r="48" spans="1:12" ht="15.6">
      <c r="A48" s="1"/>
      <c r="B48" s="1"/>
      <c r="C48" s="1"/>
      <c r="D48" s="1"/>
      <c r="E48" s="1"/>
      <c r="F48" s="1"/>
    </row>
    <row r="49" spans="1:7">
      <c r="A49" s="466"/>
    </row>
    <row r="50" spans="1:7">
      <c r="A50" s="466"/>
      <c r="G50" s="467"/>
    </row>
    <row r="51" spans="1:7">
      <c r="A51" s="466"/>
      <c r="G51" s="467"/>
    </row>
    <row r="52" spans="1:7">
      <c r="A52" s="466"/>
      <c r="G52" s="467"/>
    </row>
    <row r="53" spans="1:7">
      <c r="A53" s="466"/>
      <c r="G53" s="467"/>
    </row>
    <row r="54" spans="1:7">
      <c r="A54" s="466"/>
      <c r="G54" s="467"/>
    </row>
    <row r="55" spans="1:7">
      <c r="A55" s="466"/>
      <c r="G55" s="467"/>
    </row>
    <row r="56" spans="1:7">
      <c r="A56" s="466"/>
      <c r="G56" s="467"/>
    </row>
    <row r="57" spans="1:7">
      <c r="A57" s="466"/>
      <c r="G57" s="467"/>
    </row>
    <row r="58" spans="1:7">
      <c r="A58" s="466"/>
      <c r="G58" s="467"/>
    </row>
    <row r="59" spans="1:7">
      <c r="A59" s="466"/>
      <c r="G59" s="467"/>
    </row>
    <row r="60" spans="1:7">
      <c r="A60" s="466"/>
      <c r="G60" s="467"/>
    </row>
    <row r="61" spans="1:7">
      <c r="A61" s="466"/>
      <c r="G61" s="467"/>
    </row>
    <row r="62" spans="1:7">
      <c r="A62" s="466"/>
      <c r="G62" s="467"/>
    </row>
  </sheetData>
  <mergeCells count="6">
    <mergeCell ref="A1:H1"/>
    <mergeCell ref="G47:H47"/>
    <mergeCell ref="A4:B4"/>
    <mergeCell ref="I5:K5"/>
    <mergeCell ref="I6:K6"/>
    <mergeCell ref="D3:G6"/>
  </mergeCells>
  <phoneticPr fontId="54" type="noConversion"/>
  <pageMargins left="0.5" right="0.5" top="0.52" bottom="0.68" header="0.5" footer="0.5"/>
  <pageSetup scale="75" orientation="portrait" r:id="rId1"/>
  <headerFooter alignWithMargins="0">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
  <dimension ref="A1:S62"/>
  <sheetViews>
    <sheetView zoomScaleNormal="100" zoomScaleSheetLayoutView="100" workbookViewId="0">
      <selection activeCell="D42" sqref="D42"/>
    </sheetView>
  </sheetViews>
  <sheetFormatPr defaultColWidth="9" defaultRowHeight="15.6"/>
  <cols>
    <col min="1" max="1" width="6.875" style="890" customWidth="1"/>
    <col min="2" max="2" width="18.875" style="890" customWidth="1"/>
    <col min="3" max="3" width="29.5" style="890" customWidth="1"/>
    <col min="4" max="4" width="9.125" style="890" customWidth="1"/>
    <col min="5" max="5" width="8.125" style="890" customWidth="1"/>
    <col min="6" max="6" width="13.625" style="890" customWidth="1"/>
    <col min="7" max="7" width="14.625" style="890" customWidth="1"/>
    <col min="8" max="8" width="6.75" style="890" customWidth="1"/>
    <col min="9" max="16384" width="9" style="890"/>
  </cols>
  <sheetData>
    <row r="1" spans="1:19" ht="27.6">
      <c r="A1" s="1115" t="str">
        <f>Cover!A3</f>
        <v>FALL ENROLLMENT 2021</v>
      </c>
      <c r="B1" s="1116"/>
      <c r="C1" s="1116"/>
      <c r="D1" s="1116"/>
      <c r="E1" s="1116"/>
      <c r="F1" s="1116"/>
      <c r="G1" s="1116"/>
      <c r="H1" s="928">
        <f>COUNT(D24,D26,D30,D35,D37:D37,D41)</f>
        <v>6</v>
      </c>
      <c r="I1" s="889"/>
      <c r="J1" s="889"/>
      <c r="K1" s="889"/>
      <c r="L1" s="889"/>
      <c r="M1" s="889"/>
      <c r="N1" s="889"/>
      <c r="O1" s="889"/>
      <c r="P1" s="889"/>
      <c r="Q1" s="889"/>
      <c r="R1" s="889"/>
      <c r="S1" s="889"/>
    </row>
    <row r="2" spans="1:19" ht="21.75" customHeight="1">
      <c r="A2" s="910" t="s">
        <v>492</v>
      </c>
      <c r="B2" s="892"/>
      <c r="C2" s="892"/>
      <c r="D2" s="892"/>
      <c r="E2" s="892"/>
      <c r="F2" s="892"/>
      <c r="G2" s="892"/>
      <c r="H2" s="928">
        <f>IF(H1&gt;=2,1,0)</f>
        <v>1</v>
      </c>
      <c r="I2" s="889"/>
      <c r="J2" s="889"/>
      <c r="K2" s="889"/>
      <c r="L2" s="889"/>
      <c r="M2" s="889"/>
      <c r="N2" s="889"/>
      <c r="O2" s="889"/>
      <c r="P2" s="889"/>
      <c r="Q2" s="889"/>
      <c r="R2" s="889"/>
      <c r="S2" s="889"/>
    </row>
    <row r="3" spans="1:19" ht="24.75" customHeight="1">
      <c r="A3" s="907" t="str">
        <f>Cover!A62</f>
        <v>2122</v>
      </c>
      <c r="B3" s="892"/>
      <c r="C3" s="892"/>
      <c r="D3" s="892"/>
      <c r="E3" s="892"/>
      <c r="F3" s="892"/>
      <c r="G3" s="892"/>
      <c r="H3" s="927"/>
      <c r="I3" s="889"/>
      <c r="J3" s="889"/>
      <c r="K3" s="889"/>
      <c r="L3" s="889"/>
      <c r="M3" s="889"/>
      <c r="N3" s="889"/>
      <c r="O3" s="889"/>
      <c r="P3" s="889"/>
      <c r="Q3" s="889"/>
      <c r="R3" s="889"/>
      <c r="S3" s="889"/>
    </row>
    <row r="4" spans="1:19" ht="15.95" customHeight="1" thickBot="1">
      <c r="A4" s="891" t="str">
        <f>'99'!A3</f>
        <v>Western Connecticut State University</v>
      </c>
      <c r="B4" s="920"/>
      <c r="C4" s="892"/>
      <c r="D4" s="892"/>
      <c r="E4" s="921"/>
      <c r="F4" s="893" t="str">
        <f>'99'!N3</f>
        <v>Jerry Wilcox</v>
      </c>
      <c r="G4" s="922"/>
      <c r="H4" s="927"/>
      <c r="I4" s="889"/>
      <c r="J4" s="889"/>
      <c r="K4" s="889"/>
      <c r="L4" s="889"/>
      <c r="M4" s="889"/>
      <c r="N4" s="889"/>
      <c r="O4" s="889"/>
      <c r="P4" s="889"/>
      <c r="Q4" s="889"/>
      <c r="R4" s="889"/>
      <c r="S4" s="889"/>
    </row>
    <row r="5" spans="1:19" ht="15.95" customHeight="1" thickBot="1">
      <c r="A5" s="891">
        <f>'99'!A4</f>
        <v>130776</v>
      </c>
      <c r="B5" s="920"/>
      <c r="C5" s="892"/>
      <c r="D5" s="892"/>
      <c r="E5" s="921"/>
      <c r="F5" s="893" t="str">
        <f>'99'!N4</f>
        <v>Director, Institutional Research and Assessment</v>
      </c>
      <c r="G5" s="923"/>
      <c r="H5" s="927"/>
      <c r="I5" s="889"/>
      <c r="J5" s="889"/>
      <c r="K5" s="889"/>
      <c r="L5" s="889"/>
      <c r="M5" s="889"/>
      <c r="N5" s="889"/>
      <c r="O5" s="889"/>
      <c r="P5" s="889"/>
      <c r="Q5" s="889"/>
      <c r="R5" s="889"/>
      <c r="S5" s="889"/>
    </row>
    <row r="6" spans="1:19" ht="15.95" customHeight="1" thickBot="1">
      <c r="A6" s="891" t="str">
        <f>'99'!A5</f>
        <v>Danbury</v>
      </c>
      <c r="B6" s="920"/>
      <c r="C6" s="892"/>
      <c r="D6" s="892"/>
      <c r="E6" s="921"/>
      <c r="F6" s="893" t="str">
        <f>'99'!N5</f>
        <v>203-837-8242</v>
      </c>
      <c r="G6" s="923"/>
      <c r="H6" s="927"/>
      <c r="I6" s="889"/>
      <c r="J6" s="889"/>
      <c r="K6" s="889"/>
      <c r="L6" s="889"/>
      <c r="M6" s="889"/>
      <c r="N6" s="889"/>
      <c r="O6" s="889"/>
      <c r="P6" s="889"/>
      <c r="Q6" s="889"/>
      <c r="R6" s="889"/>
      <c r="S6" s="889"/>
    </row>
    <row r="7" spans="1:19">
      <c r="A7" s="924"/>
      <c r="B7" s="925"/>
      <c r="C7" s="921"/>
      <c r="D7" s="925"/>
      <c r="E7" s="925"/>
      <c r="F7" s="925"/>
      <c r="G7" s="925"/>
      <c r="H7" s="927"/>
      <c r="I7" s="889"/>
      <c r="J7" s="889"/>
      <c r="K7" s="889"/>
      <c r="L7" s="889"/>
      <c r="M7" s="889"/>
      <c r="N7" s="889"/>
      <c r="O7" s="889"/>
      <c r="P7" s="889"/>
      <c r="Q7" s="889"/>
      <c r="R7" s="889"/>
      <c r="S7" s="889"/>
    </row>
    <row r="8" spans="1:19">
      <c r="A8" s="926" t="s">
        <v>493</v>
      </c>
      <c r="B8" s="895"/>
      <c r="C8" s="894"/>
      <c r="D8" s="895"/>
      <c r="E8" s="895"/>
      <c r="F8" s="895"/>
      <c r="G8" s="895"/>
      <c r="H8" s="889"/>
      <c r="I8" s="889"/>
      <c r="J8" s="889"/>
      <c r="K8" s="889"/>
      <c r="L8" s="889"/>
      <c r="M8" s="889"/>
      <c r="N8" s="889"/>
      <c r="O8" s="889"/>
      <c r="P8" s="889"/>
      <c r="Q8" s="889"/>
      <c r="R8" s="889"/>
      <c r="S8" s="889"/>
    </row>
    <row r="9" spans="1:19" ht="9.75" customHeight="1">
      <c r="A9" s="894"/>
      <c r="B9" s="895"/>
      <c r="C9" s="894"/>
      <c r="D9" s="895"/>
      <c r="E9" s="895"/>
      <c r="F9" s="895"/>
      <c r="G9" s="895"/>
      <c r="H9" s="889"/>
      <c r="I9" s="889"/>
      <c r="J9" s="889"/>
      <c r="K9" s="889"/>
      <c r="L9" s="889"/>
      <c r="M9" s="889"/>
      <c r="N9" s="889"/>
      <c r="O9" s="889"/>
      <c r="P9" s="889"/>
      <c r="Q9" s="889"/>
      <c r="R9" s="889"/>
      <c r="S9" s="889"/>
    </row>
    <row r="10" spans="1:19" ht="14.25" customHeight="1">
      <c r="A10" s="1114" t="s">
        <v>494</v>
      </c>
      <c r="B10" s="1114"/>
      <c r="C10" s="1114"/>
      <c r="D10" s="1114"/>
      <c r="E10" s="1114"/>
      <c r="F10" s="1114"/>
      <c r="G10" s="1114"/>
      <c r="H10" s="889"/>
      <c r="I10" s="889"/>
      <c r="J10" s="889"/>
      <c r="K10" s="889"/>
      <c r="L10" s="889"/>
      <c r="M10" s="889"/>
      <c r="N10" s="889"/>
      <c r="O10" s="889"/>
      <c r="P10" s="889"/>
      <c r="Q10" s="889"/>
      <c r="R10" s="889"/>
      <c r="S10" s="889"/>
    </row>
    <row r="11" spans="1:19" ht="9.75" customHeight="1">
      <c r="A11" s="889"/>
      <c r="B11" s="896"/>
      <c r="C11" s="896"/>
      <c r="D11" s="896"/>
      <c r="E11" s="896"/>
      <c r="F11" s="896"/>
      <c r="G11" s="896"/>
      <c r="H11" s="889"/>
      <c r="I11" s="889"/>
      <c r="J11" s="889"/>
      <c r="K11" s="889"/>
      <c r="L11" s="889"/>
      <c r="M11" s="889"/>
      <c r="N11" s="889"/>
      <c r="O11" s="889"/>
      <c r="P11" s="889"/>
      <c r="Q11" s="889"/>
      <c r="R11" s="889"/>
      <c r="S11" s="889"/>
    </row>
    <row r="12" spans="1:19" ht="53.25" customHeight="1">
      <c r="A12" s="1120" t="s">
        <v>495</v>
      </c>
      <c r="B12" s="1121"/>
      <c r="C12" s="1121"/>
      <c r="D12" s="1121"/>
      <c r="E12" s="1121"/>
      <c r="F12" s="1121"/>
      <c r="G12" s="1121"/>
      <c r="H12" s="889"/>
      <c r="I12" s="889"/>
      <c r="J12" s="889"/>
      <c r="K12" s="889"/>
      <c r="L12" s="889"/>
      <c r="M12" s="889"/>
      <c r="N12" s="889"/>
      <c r="O12" s="889"/>
      <c r="P12" s="889"/>
      <c r="Q12" s="889"/>
      <c r="R12" s="889"/>
      <c r="S12" s="889"/>
    </row>
    <row r="13" spans="1:19" ht="7.5" customHeight="1">
      <c r="A13" s="897"/>
      <c r="B13" s="896"/>
      <c r="C13" s="896"/>
      <c r="D13" s="896"/>
      <c r="E13" s="896"/>
      <c r="F13" s="896"/>
      <c r="G13" s="896"/>
      <c r="H13" s="889"/>
      <c r="I13" s="889"/>
      <c r="J13" s="889"/>
      <c r="K13" s="889"/>
      <c r="L13" s="889"/>
      <c r="M13" s="889"/>
      <c r="N13" s="889"/>
      <c r="O13" s="889"/>
      <c r="P13" s="889"/>
      <c r="Q13" s="889"/>
      <c r="R13" s="889"/>
      <c r="S13" s="889"/>
    </row>
    <row r="14" spans="1:19">
      <c r="A14" s="915" t="s">
        <v>496</v>
      </c>
      <c r="B14" s="896"/>
      <c r="C14" s="896"/>
      <c r="D14" s="898"/>
      <c r="E14" s="896"/>
      <c r="F14" s="896"/>
      <c r="G14" s="896"/>
      <c r="H14" s="889"/>
      <c r="I14" s="889"/>
      <c r="J14" s="889"/>
      <c r="K14" s="889"/>
      <c r="L14" s="889"/>
      <c r="M14" s="889"/>
      <c r="N14" s="889"/>
      <c r="O14" s="889"/>
      <c r="P14" s="889"/>
      <c r="Q14" s="889"/>
      <c r="R14" s="889"/>
      <c r="S14" s="889"/>
    </row>
    <row r="15" spans="1:19" ht="5.25" customHeight="1">
      <c r="A15" s="897"/>
      <c r="B15" s="896"/>
      <c r="C15" s="896"/>
      <c r="D15" s="896"/>
      <c r="E15" s="896"/>
      <c r="F15" s="896"/>
      <c r="G15" s="896"/>
      <c r="H15" s="889"/>
      <c r="I15" s="889"/>
      <c r="J15" s="889"/>
      <c r="K15" s="889"/>
      <c r="L15" s="889"/>
      <c r="M15" s="889"/>
      <c r="N15" s="889"/>
      <c r="O15" s="889"/>
      <c r="P15" s="889"/>
      <c r="Q15" s="889"/>
      <c r="R15" s="889"/>
      <c r="S15" s="889"/>
    </row>
    <row r="16" spans="1:19" ht="34.5" customHeight="1">
      <c r="A16" s="908" t="s">
        <v>497</v>
      </c>
      <c r="B16" s="1126" t="str">
        <f>"Include only FIRST-TIME BACHELOR'S students in your full- and part-time cohorts. Do not include students who transferred into your institution."</f>
        <v>Include only FIRST-TIME BACHELOR'S students in your full- and part-time cohorts. Do not include students who transferred into your institution.</v>
      </c>
      <c r="C16" s="1121"/>
      <c r="D16" s="1121"/>
      <c r="E16" s="1121"/>
      <c r="F16" s="1121"/>
      <c r="G16" s="1121"/>
      <c r="H16" s="889"/>
      <c r="I16" s="898"/>
      <c r="J16" s="889"/>
      <c r="K16" s="889"/>
      <c r="L16" s="889"/>
      <c r="M16" s="889"/>
      <c r="N16" s="889"/>
      <c r="O16" s="889"/>
      <c r="P16" s="889"/>
      <c r="Q16" s="889"/>
      <c r="R16" s="889"/>
      <c r="S16" s="889"/>
    </row>
    <row r="17" spans="1:19" ht="35.25" customHeight="1">
      <c r="A17" s="916" t="s">
        <v>497</v>
      </c>
      <c r="B17" s="1123" t="s">
        <v>498</v>
      </c>
      <c r="C17" s="1124"/>
      <c r="D17" s="1124"/>
      <c r="E17" s="1124"/>
      <c r="F17" s="1124"/>
      <c r="G17" s="1124"/>
      <c r="H17" s="889"/>
      <c r="I17" s="898"/>
      <c r="J17" s="889"/>
      <c r="K17" s="889"/>
      <c r="L17" s="889"/>
      <c r="M17" s="889"/>
      <c r="N17" s="889"/>
      <c r="O17" s="889"/>
      <c r="P17" s="889"/>
      <c r="Q17" s="889"/>
      <c r="R17" s="889"/>
      <c r="S17" s="889"/>
    </row>
    <row r="18" spans="1:19" ht="48.75" customHeight="1">
      <c r="A18" s="916" t="s">
        <v>497</v>
      </c>
      <c r="B18" s="1125" t="s">
        <v>499</v>
      </c>
      <c r="C18" s="1125"/>
      <c r="D18" s="1125"/>
      <c r="E18" s="1125"/>
      <c r="F18" s="1125"/>
      <c r="G18" s="1125"/>
      <c r="H18" s="889"/>
      <c r="I18" s="898"/>
      <c r="J18" s="889"/>
      <c r="K18" s="889"/>
      <c r="L18" s="889"/>
      <c r="M18" s="889"/>
      <c r="N18" s="889"/>
      <c r="O18" s="889"/>
      <c r="P18" s="889"/>
      <c r="Q18" s="889"/>
      <c r="R18" s="889"/>
      <c r="S18" s="889"/>
    </row>
    <row r="19" spans="1:19" ht="14.25" customHeight="1">
      <c r="A19" s="908"/>
      <c r="B19" s="898"/>
      <c r="C19" s="896"/>
      <c r="D19" s="896"/>
      <c r="E19" s="896"/>
      <c r="F19" s="896"/>
      <c r="G19" s="896"/>
      <c r="H19" s="889"/>
      <c r="I19" s="898"/>
      <c r="J19" s="889"/>
      <c r="K19" s="889"/>
      <c r="L19" s="889"/>
      <c r="M19" s="889"/>
      <c r="N19" s="889"/>
      <c r="O19" s="889"/>
      <c r="P19" s="889"/>
      <c r="Q19" s="889"/>
      <c r="R19" s="889"/>
      <c r="S19" s="889"/>
    </row>
    <row r="20" spans="1:19" ht="17.25" customHeight="1">
      <c r="A20" s="1183" t="s">
        <v>500</v>
      </c>
      <c r="B20" s="1113"/>
      <c r="C20" s="1113"/>
      <c r="D20" s="1113"/>
      <c r="E20" s="1113"/>
      <c r="F20" s="1113"/>
      <c r="G20" s="1113"/>
      <c r="H20" s="889"/>
      <c r="I20" s="898"/>
      <c r="J20" s="889"/>
      <c r="K20" s="889"/>
      <c r="L20" s="889"/>
      <c r="M20" s="889"/>
      <c r="N20" s="889"/>
      <c r="O20" s="889"/>
      <c r="P20" s="889"/>
      <c r="Q20" s="889"/>
      <c r="R20" s="889"/>
      <c r="S20" s="889"/>
    </row>
    <row r="21" spans="1:19" ht="11.25" customHeight="1">
      <c r="A21" s="889" t="s">
        <v>501</v>
      </c>
      <c r="B21" s="889"/>
      <c r="C21" s="889"/>
      <c r="D21" s="889"/>
      <c r="E21" s="889"/>
      <c r="F21" s="889"/>
      <c r="G21" s="889"/>
      <c r="H21" s="889"/>
      <c r="I21" s="889"/>
      <c r="J21" s="889"/>
      <c r="K21" s="889"/>
      <c r="L21" s="889"/>
      <c r="M21" s="889"/>
      <c r="N21" s="889"/>
      <c r="O21" s="889"/>
      <c r="P21" s="889"/>
      <c r="Q21" s="889"/>
      <c r="R21" s="889"/>
      <c r="S21" s="889"/>
    </row>
    <row r="22" spans="1:19" ht="23.25" customHeight="1">
      <c r="A22" s="935" t="s">
        <v>502</v>
      </c>
      <c r="B22" s="889"/>
      <c r="C22" s="889"/>
      <c r="D22" s="889"/>
      <c r="E22" s="889"/>
      <c r="F22" s="889"/>
      <c r="G22" s="889"/>
      <c r="H22" s="889"/>
      <c r="I22" s="889"/>
      <c r="J22" s="889"/>
      <c r="K22" s="889"/>
      <c r="L22" s="889"/>
      <c r="M22" s="889"/>
      <c r="N22" s="889"/>
      <c r="O22" s="889"/>
      <c r="P22" s="889"/>
      <c r="Q22" s="889"/>
      <c r="R22" s="889"/>
      <c r="S22" s="889"/>
    </row>
    <row r="23" spans="1:19" ht="10.5" customHeight="1">
      <c r="A23" s="899"/>
      <c r="B23" s="889"/>
      <c r="C23" s="889"/>
      <c r="D23" s="889"/>
      <c r="E23" s="889"/>
      <c r="F23" s="900"/>
      <c r="G23" s="889"/>
      <c r="H23" s="889"/>
      <c r="I23" s="889"/>
      <c r="J23" s="889"/>
      <c r="K23" s="889"/>
      <c r="L23" s="889"/>
      <c r="M23" s="889"/>
      <c r="N23" s="889"/>
      <c r="O23" s="889"/>
      <c r="P23" s="889"/>
      <c r="Q23" s="889"/>
      <c r="R23" s="889"/>
      <c r="S23" s="889"/>
    </row>
    <row r="24" spans="1:19" ht="17.25" customHeight="1">
      <c r="A24" s="889"/>
      <c r="B24" s="889" t="str">
        <f>"Full-Time, First-Time Fall "&amp;$A$58&amp;" bachelor's-seeking cohort:"</f>
        <v>Full-Time, First-Time Fall 2020 bachelor's-seeking cohort:</v>
      </c>
      <c r="C24" s="889"/>
      <c r="D24" s="901">
        <v>731</v>
      </c>
      <c r="E24" s="889"/>
      <c r="F24" s="889"/>
      <c r="G24" s="889"/>
      <c r="H24" s="889"/>
      <c r="I24" s="889"/>
      <c r="J24" s="889"/>
      <c r="K24" s="889"/>
      <c r="L24" s="889"/>
      <c r="M24" s="889"/>
      <c r="N24" s="889"/>
      <c r="O24" s="889"/>
      <c r="P24" s="889"/>
      <c r="Q24" s="889"/>
      <c r="R24" s="889"/>
      <c r="S24" s="889"/>
    </row>
    <row r="25" spans="1:19" ht="11.25" customHeight="1">
      <c r="A25" s="889"/>
      <c r="B25" s="889"/>
      <c r="C25" s="889"/>
      <c r="D25" s="902"/>
      <c r="E25" s="889"/>
      <c r="F25" s="889"/>
      <c r="G25" s="889"/>
      <c r="H25" s="889"/>
      <c r="I25" s="889"/>
      <c r="J25" s="889"/>
      <c r="K25" s="889"/>
      <c r="L25" s="889"/>
      <c r="M25" s="889"/>
      <c r="N25" s="889"/>
      <c r="O25" s="889"/>
      <c r="P25" s="889"/>
      <c r="Q25" s="889"/>
      <c r="R25" s="889"/>
      <c r="S25" s="889"/>
    </row>
    <row r="26" spans="1:19" ht="15" customHeight="1">
      <c r="A26" s="889"/>
      <c r="B26" s="889" t="s">
        <v>503</v>
      </c>
      <c r="C26" s="889"/>
      <c r="D26" s="901">
        <v>0</v>
      </c>
      <c r="E26" s="889"/>
      <c r="F26" s="889"/>
      <c r="G26" s="889"/>
      <c r="H26" s="889"/>
      <c r="I26" s="889"/>
      <c r="J26" s="889"/>
      <c r="K26" s="889"/>
      <c r="L26" s="889"/>
      <c r="M26" s="889"/>
      <c r="N26" s="889"/>
      <c r="O26" s="889"/>
      <c r="P26" s="889"/>
      <c r="Q26" s="889"/>
      <c r="R26" s="889"/>
      <c r="S26" s="889"/>
    </row>
    <row r="27" spans="1:19" ht="11.25" customHeight="1">
      <c r="A27" s="889"/>
      <c r="B27" s="889"/>
      <c r="C27" s="889"/>
      <c r="D27" s="902"/>
      <c r="E27" s="889"/>
      <c r="F27" s="889"/>
      <c r="G27" s="889"/>
      <c r="H27" s="889"/>
      <c r="I27" s="889"/>
      <c r="J27" s="889"/>
      <c r="K27" s="889"/>
      <c r="L27" s="889"/>
      <c r="M27" s="889"/>
      <c r="N27" s="889"/>
      <c r="O27" s="889"/>
      <c r="P27" s="889"/>
      <c r="Q27" s="889"/>
      <c r="R27" s="889"/>
      <c r="S27" s="889"/>
    </row>
    <row r="28" spans="1:19" ht="15.75" customHeight="1">
      <c r="A28" s="889"/>
      <c r="B28" s="889" t="str">
        <f>"ADJUSTED cohort:"</f>
        <v>ADJUSTED cohort:</v>
      </c>
      <c r="C28" s="889"/>
      <c r="D28" s="903">
        <f>D24-D26</f>
        <v>731</v>
      </c>
      <c r="E28" s="904"/>
      <c r="F28" s="889"/>
      <c r="G28" s="889"/>
      <c r="H28" s="889"/>
      <c r="I28" s="889"/>
      <c r="J28" s="889"/>
      <c r="K28" s="889"/>
      <c r="L28" s="889"/>
      <c r="M28" s="889"/>
      <c r="N28" s="889"/>
      <c r="O28" s="889"/>
      <c r="P28" s="889"/>
      <c r="Q28" s="889"/>
      <c r="R28" s="889"/>
      <c r="S28" s="889"/>
    </row>
    <row r="29" spans="1:19" ht="12" customHeight="1">
      <c r="A29" s="889"/>
      <c r="B29" s="889"/>
      <c r="C29" s="889"/>
      <c r="D29" s="902"/>
      <c r="E29" s="889"/>
      <c r="F29" s="900"/>
      <c r="G29" s="889"/>
      <c r="H29" s="889"/>
      <c r="I29" s="889"/>
      <c r="J29" s="889"/>
      <c r="K29" s="889"/>
      <c r="L29" s="889"/>
      <c r="M29" s="889"/>
      <c r="N29" s="889"/>
      <c r="O29" s="889"/>
      <c r="P29" s="889"/>
      <c r="Q29" s="889"/>
      <c r="R29" s="889"/>
      <c r="S29" s="889"/>
    </row>
    <row r="30" spans="1:19" ht="33" customHeight="1">
      <c r="A30" s="889"/>
      <c r="B30" s="1119" t="str">
        <f>"Students from Fall "&amp;A58&amp;" STILL ENROLLED as of Fall "&amp;A59&amp;":"</f>
        <v>Students from Fall 2020 STILL ENROLLED as of Fall 2021:</v>
      </c>
      <c r="C30" s="1119"/>
      <c r="D30" s="901">
        <v>504</v>
      </c>
      <c r="E30" s="889"/>
      <c r="F30" s="889"/>
      <c r="G30" s="889"/>
      <c r="H30" s="889"/>
      <c r="I30" s="889"/>
      <c r="J30" s="889"/>
      <c r="K30" s="889"/>
      <c r="L30" s="889"/>
      <c r="M30" s="889"/>
      <c r="N30" s="889"/>
      <c r="O30" s="889"/>
      <c r="P30" s="889"/>
      <c r="Q30" s="889"/>
      <c r="R30" s="889"/>
      <c r="S30" s="889"/>
    </row>
    <row r="31" spans="1:19" ht="13.5" customHeight="1">
      <c r="A31" s="889"/>
      <c r="B31" s="914"/>
      <c r="C31" s="914"/>
      <c r="D31" s="917"/>
      <c r="E31" s="889"/>
      <c r="F31" s="889"/>
      <c r="G31" s="889"/>
      <c r="H31" s="889"/>
      <c r="I31" s="889"/>
      <c r="J31" s="889"/>
      <c r="K31" s="889"/>
      <c r="L31" s="889"/>
      <c r="M31" s="889"/>
      <c r="N31" s="889"/>
      <c r="O31" s="889"/>
      <c r="P31" s="889"/>
      <c r="Q31" s="889"/>
      <c r="R31" s="889"/>
      <c r="S31" s="889"/>
    </row>
    <row r="32" spans="1:19" ht="30.75" customHeight="1">
      <c r="A32" s="889"/>
      <c r="B32" s="1121" t="s">
        <v>504</v>
      </c>
      <c r="C32" s="1122"/>
      <c r="D32" s="919">
        <f>100*D30/D28</f>
        <v>68.946648426812587</v>
      </c>
      <c r="E32" s="918" t="s">
        <v>505</v>
      </c>
      <c r="F32" s="906"/>
      <c r="G32" s="889"/>
      <c r="H32" s="889"/>
      <c r="I32" s="889"/>
      <c r="J32" s="889"/>
      <c r="K32" s="889"/>
      <c r="L32" s="889"/>
      <c r="M32" s="889"/>
      <c r="N32" s="889"/>
      <c r="O32" s="889"/>
      <c r="P32" s="889"/>
      <c r="Q32" s="889"/>
      <c r="R32" s="889"/>
      <c r="S32" s="889"/>
    </row>
    <row r="33" spans="1:19" ht="20.25" customHeight="1">
      <c r="A33" s="889"/>
      <c r="B33" s="889"/>
      <c r="C33" s="889"/>
      <c r="D33" s="902"/>
      <c r="E33" s="889"/>
      <c r="F33" s="889"/>
      <c r="G33" s="889"/>
      <c r="H33" s="889"/>
      <c r="I33" s="889"/>
      <c r="J33" s="889"/>
      <c r="K33" s="889"/>
      <c r="L33" s="889"/>
      <c r="M33" s="889"/>
      <c r="N33" s="889"/>
      <c r="O33" s="889"/>
      <c r="P33" s="889"/>
      <c r="Q33" s="889"/>
      <c r="R33" s="889"/>
      <c r="S33" s="889"/>
    </row>
    <row r="34" spans="1:19" ht="29.25" customHeight="1">
      <c r="A34" s="935" t="s">
        <v>506</v>
      </c>
      <c r="B34" s="889"/>
      <c r="C34" s="889"/>
      <c r="D34" s="889"/>
      <c r="E34" s="897"/>
      <c r="F34" s="889"/>
      <c r="G34" s="889"/>
      <c r="H34" s="889"/>
      <c r="I34" s="889"/>
      <c r="J34" s="889"/>
      <c r="K34" s="889"/>
      <c r="L34" s="889"/>
      <c r="M34" s="889"/>
      <c r="N34" s="889"/>
      <c r="O34" s="889"/>
      <c r="P34" s="889"/>
      <c r="Q34" s="889"/>
      <c r="R34" s="889"/>
      <c r="S34" s="889"/>
    </row>
    <row r="35" spans="1:19" ht="18.75" customHeight="1">
      <c r="A35" s="889"/>
      <c r="B35" s="889" t="str">
        <f>"Part Time, First-Time, Fall "&amp;$A$58&amp;" bachelor's seeking cohort"</f>
        <v>Part Time, First-Time, Fall 2020 bachelor's seeking cohort</v>
      </c>
      <c r="C35" s="889"/>
      <c r="D35" s="901">
        <v>57</v>
      </c>
      <c r="E35" s="897"/>
      <c r="F35" s="889"/>
      <c r="G35" s="889"/>
      <c r="H35" s="889"/>
      <c r="I35" s="889"/>
      <c r="J35" s="889"/>
      <c r="K35" s="889"/>
      <c r="L35" s="889"/>
      <c r="M35" s="889"/>
      <c r="N35" s="889"/>
      <c r="O35" s="889"/>
      <c r="P35" s="889"/>
      <c r="Q35" s="889"/>
      <c r="R35" s="889"/>
      <c r="S35" s="889"/>
    </row>
    <row r="36" spans="1:19" ht="9.75" customHeight="1">
      <c r="A36" s="889"/>
      <c r="B36" s="889"/>
      <c r="C36" s="889"/>
      <c r="D36" s="902"/>
      <c r="E36" s="897"/>
      <c r="F36" s="889"/>
      <c r="G36" s="889"/>
      <c r="H36" s="889"/>
      <c r="I36" s="889"/>
      <c r="J36" s="889"/>
      <c r="K36" s="889"/>
      <c r="L36" s="889"/>
      <c r="M36" s="889"/>
      <c r="N36" s="889"/>
      <c r="O36" s="889"/>
      <c r="P36" s="889"/>
      <c r="Q36" s="889"/>
      <c r="R36" s="889"/>
      <c r="S36" s="889"/>
    </row>
    <row r="37" spans="1:19" ht="20.25" customHeight="1">
      <c r="A37" s="889"/>
      <c r="B37" s="889" t="s">
        <v>503</v>
      </c>
      <c r="C37" s="889"/>
      <c r="D37" s="901">
        <v>0</v>
      </c>
      <c r="E37" s="897"/>
      <c r="F37" s="889"/>
      <c r="G37" s="889"/>
      <c r="H37" s="889"/>
      <c r="I37" s="889"/>
      <c r="J37" s="889"/>
      <c r="K37" s="889"/>
      <c r="L37" s="889"/>
      <c r="M37" s="889"/>
      <c r="N37" s="889"/>
      <c r="O37" s="889"/>
      <c r="P37" s="889"/>
      <c r="Q37" s="889"/>
      <c r="R37" s="889"/>
      <c r="S37" s="889"/>
    </row>
    <row r="38" spans="1:19" ht="7.5" customHeight="1">
      <c r="A38" s="889"/>
      <c r="B38" s="889"/>
      <c r="C38" s="889"/>
      <c r="D38" s="902"/>
      <c r="E38" s="897"/>
      <c r="F38" s="889"/>
      <c r="G38" s="889"/>
      <c r="H38" s="889"/>
      <c r="I38" s="889"/>
      <c r="J38" s="889"/>
      <c r="K38" s="889"/>
      <c r="L38" s="889"/>
      <c r="M38" s="889"/>
      <c r="N38" s="889"/>
      <c r="O38" s="889"/>
      <c r="P38" s="889"/>
      <c r="Q38" s="889"/>
      <c r="R38" s="889"/>
      <c r="S38" s="889"/>
    </row>
    <row r="39" spans="1:19" ht="18" customHeight="1">
      <c r="A39" s="889"/>
      <c r="B39" s="889" t="str">
        <f>"ADJUSTED cohort:"</f>
        <v>ADJUSTED cohort:</v>
      </c>
      <c r="C39" s="889"/>
      <c r="D39" s="903">
        <f>D35-D37</f>
        <v>57</v>
      </c>
      <c r="E39" s="897"/>
      <c r="F39" s="889"/>
      <c r="G39" s="889"/>
      <c r="H39" s="889"/>
      <c r="I39" s="889"/>
      <c r="J39" s="889"/>
      <c r="K39" s="889"/>
      <c r="L39" s="889"/>
      <c r="M39" s="889"/>
      <c r="N39" s="889"/>
      <c r="O39" s="889"/>
      <c r="P39" s="889"/>
      <c r="Q39" s="889"/>
      <c r="R39" s="889"/>
      <c r="S39" s="889"/>
    </row>
    <row r="40" spans="1:19" ht="12" customHeight="1">
      <c r="A40" s="889"/>
      <c r="B40" s="889"/>
      <c r="C40" s="889"/>
      <c r="D40" s="902"/>
      <c r="E40" s="897"/>
      <c r="F40" s="889"/>
      <c r="G40" s="889"/>
      <c r="H40" s="889"/>
      <c r="I40" s="889"/>
      <c r="J40" s="889"/>
      <c r="K40" s="889"/>
      <c r="L40" s="889"/>
      <c r="M40" s="889"/>
      <c r="N40" s="889"/>
      <c r="O40" s="889"/>
      <c r="P40" s="889"/>
      <c r="Q40" s="889"/>
      <c r="R40" s="889"/>
      <c r="S40" s="889"/>
    </row>
    <row r="41" spans="1:19" ht="19.5" customHeight="1">
      <c r="A41" s="889"/>
      <c r="B41" s="1119" t="str">
        <f>"Students from Fall "&amp;A58&amp;" STILL ENROLLED as of Fall "&amp;A59&amp;":"</f>
        <v>Students from Fall 2020 STILL ENROLLED as of Fall 2021:</v>
      </c>
      <c r="C41" s="1119"/>
      <c r="D41" s="901">
        <v>18</v>
      </c>
      <c r="E41" s="897"/>
      <c r="H41" s="889"/>
      <c r="I41" s="889"/>
      <c r="J41" s="889"/>
      <c r="K41" s="889"/>
      <c r="L41" s="889"/>
      <c r="M41" s="889"/>
      <c r="N41" s="889"/>
      <c r="O41" s="889"/>
      <c r="P41" s="889"/>
      <c r="Q41" s="889"/>
      <c r="R41" s="889"/>
      <c r="S41" s="889"/>
    </row>
    <row r="42" spans="1:19">
      <c r="A42" s="897"/>
      <c r="B42" s="897"/>
      <c r="C42" s="897"/>
      <c r="D42" s="897"/>
      <c r="E42" s="897"/>
      <c r="F42" s="889"/>
      <c r="G42" s="889"/>
      <c r="H42" s="889"/>
      <c r="I42" s="889"/>
      <c r="J42" s="889"/>
      <c r="K42" s="889"/>
      <c r="L42" s="889"/>
      <c r="M42" s="889"/>
      <c r="N42" s="889"/>
      <c r="O42" s="889"/>
      <c r="P42" s="889"/>
      <c r="Q42" s="889"/>
      <c r="R42" s="889"/>
      <c r="S42" s="889"/>
    </row>
    <row r="43" spans="1:19" ht="22.5" customHeight="1">
      <c r="A43" s="897"/>
      <c r="B43" s="1" t="s">
        <v>507</v>
      </c>
      <c r="C43" s="897"/>
      <c r="D43" s="919">
        <f>100*D41/D39</f>
        <v>31.578947368421051</v>
      </c>
      <c r="E43" s="918" t="s">
        <v>505</v>
      </c>
      <c r="F43" s="889"/>
      <c r="G43" s="889"/>
      <c r="H43" s="889"/>
      <c r="I43" s="889"/>
      <c r="J43" s="889"/>
      <c r="K43" s="889"/>
      <c r="L43" s="889"/>
      <c r="M43" s="889"/>
      <c r="N43" s="889"/>
      <c r="O43" s="889"/>
      <c r="P43" s="889"/>
      <c r="Q43" s="889"/>
      <c r="R43" s="889"/>
      <c r="S43" s="889"/>
    </row>
    <row r="44" spans="1:19">
      <c r="A44" s="889"/>
      <c r="B44" s="889"/>
      <c r="C44" s="889"/>
      <c r="D44" s="902"/>
      <c r="E44" s="889"/>
      <c r="F44" s="889"/>
      <c r="G44" s="889"/>
      <c r="H44" s="889"/>
      <c r="I44" s="889"/>
      <c r="J44" s="889"/>
      <c r="K44" s="889"/>
      <c r="L44" s="889"/>
      <c r="M44" s="889"/>
      <c r="N44" s="889"/>
      <c r="O44" s="889"/>
      <c r="P44" s="889"/>
      <c r="Q44" s="889"/>
      <c r="R44" s="889"/>
      <c r="S44" s="889"/>
    </row>
    <row r="45" spans="1:19">
      <c r="A45" s="889"/>
      <c r="B45" s="889"/>
      <c r="C45" s="889"/>
      <c r="D45" s="902"/>
      <c r="E45" s="889"/>
      <c r="F45" s="889"/>
      <c r="G45" s="889"/>
      <c r="H45" s="889"/>
      <c r="I45" s="889"/>
      <c r="J45" s="889"/>
      <c r="K45" s="889"/>
      <c r="L45" s="889"/>
      <c r="M45" s="889"/>
      <c r="N45" s="889"/>
      <c r="O45" s="889"/>
      <c r="P45" s="889"/>
      <c r="Q45" s="889"/>
      <c r="R45" s="889"/>
      <c r="S45" s="889"/>
    </row>
    <row r="46" spans="1:19" ht="18">
      <c r="A46" s="905"/>
      <c r="B46" s="905"/>
      <c r="C46" s="905"/>
      <c r="D46" s="905"/>
      <c r="E46" s="905"/>
      <c r="F46" s="905"/>
      <c r="G46" s="905"/>
      <c r="H46" s="889"/>
      <c r="I46" s="889"/>
      <c r="J46" s="889"/>
      <c r="K46" s="889"/>
      <c r="L46" s="889"/>
      <c r="M46" s="889"/>
      <c r="N46" s="889"/>
      <c r="O46" s="889"/>
      <c r="P46" s="889"/>
      <c r="Q46" s="889"/>
      <c r="R46" s="889"/>
      <c r="S46" s="889"/>
    </row>
    <row r="47" spans="1:19" ht="18">
      <c r="A47" s="905"/>
      <c r="B47" s="905"/>
      <c r="C47" s="905"/>
      <c r="D47" s="905"/>
      <c r="E47" s="905"/>
      <c r="F47" s="905"/>
      <c r="G47" s="905"/>
      <c r="H47" s="889"/>
      <c r="I47" s="889"/>
      <c r="J47" s="889"/>
      <c r="K47" s="889"/>
      <c r="L47" s="889"/>
      <c r="M47" s="889"/>
      <c r="N47" s="889"/>
      <c r="O47" s="889"/>
      <c r="P47" s="889"/>
      <c r="Q47" s="889"/>
      <c r="R47" s="889"/>
      <c r="S47" s="889"/>
    </row>
    <row r="48" spans="1:19" ht="18">
      <c r="A48" s="905"/>
      <c r="B48" s="905"/>
      <c r="C48" s="905"/>
      <c r="D48" s="905"/>
      <c r="E48" s="905"/>
      <c r="F48" s="905"/>
      <c r="G48" s="905"/>
      <c r="H48" s="889"/>
      <c r="I48" s="889"/>
      <c r="J48" s="889"/>
      <c r="K48" s="889"/>
      <c r="L48" s="889"/>
      <c r="M48" s="889"/>
      <c r="N48" s="889"/>
      <c r="O48" s="889"/>
      <c r="P48" s="889"/>
      <c r="Q48" s="889"/>
      <c r="R48" s="889"/>
      <c r="S48" s="889"/>
    </row>
    <row r="49" spans="1:19" ht="18">
      <c r="A49" s="905"/>
      <c r="B49" s="905"/>
      <c r="C49" s="905"/>
      <c r="D49" s="905"/>
      <c r="E49" s="905"/>
      <c r="F49" s="905"/>
      <c r="G49" s="905"/>
      <c r="H49" s="889"/>
      <c r="I49" s="889"/>
      <c r="J49" s="889"/>
      <c r="K49" s="889"/>
      <c r="L49" s="889"/>
      <c r="M49" s="889"/>
      <c r="N49" s="889"/>
      <c r="O49" s="889"/>
      <c r="P49" s="889"/>
      <c r="Q49" s="889"/>
      <c r="R49" s="889"/>
      <c r="S49" s="889"/>
    </row>
    <row r="50" spans="1:19" ht="18">
      <c r="A50" s="905"/>
      <c r="B50" s="905"/>
      <c r="C50" s="905"/>
      <c r="D50" s="905"/>
      <c r="E50" s="905"/>
      <c r="F50" s="905"/>
      <c r="G50" s="905"/>
      <c r="H50" s="889"/>
      <c r="I50" s="889"/>
      <c r="J50" s="889"/>
      <c r="K50" s="889"/>
      <c r="L50" s="889"/>
      <c r="M50" s="889"/>
      <c r="N50" s="889"/>
      <c r="O50" s="889"/>
      <c r="P50" s="889"/>
      <c r="Q50" s="889"/>
      <c r="R50" s="889"/>
      <c r="S50" s="889"/>
    </row>
    <row r="51" spans="1:19" ht="18">
      <c r="A51" s="905"/>
      <c r="B51" s="905"/>
      <c r="C51" s="905"/>
      <c r="D51" s="905"/>
      <c r="E51" s="905"/>
      <c r="F51" s="905"/>
      <c r="G51" s="905"/>
      <c r="H51" s="889"/>
      <c r="I51" s="889"/>
      <c r="J51" s="889"/>
      <c r="K51" s="889"/>
      <c r="L51" s="889"/>
      <c r="M51" s="889"/>
      <c r="N51" s="889"/>
      <c r="O51" s="889"/>
      <c r="P51" s="889"/>
      <c r="Q51" s="889"/>
      <c r="R51" s="889"/>
      <c r="S51" s="889"/>
    </row>
    <row r="52" spans="1:19">
      <c r="A52" s="889"/>
      <c r="B52" s="889"/>
      <c r="C52" s="889"/>
      <c r="D52" s="889"/>
      <c r="E52" s="889"/>
      <c r="F52" s="889"/>
      <c r="G52" s="889"/>
      <c r="H52" s="889"/>
      <c r="I52" s="889"/>
      <c r="J52" s="889"/>
      <c r="K52" s="889"/>
      <c r="L52" s="889"/>
      <c r="M52" s="889"/>
      <c r="N52" s="889"/>
      <c r="O52" s="889"/>
      <c r="P52" s="889"/>
      <c r="Q52" s="889"/>
      <c r="R52" s="889"/>
      <c r="S52" s="889"/>
    </row>
    <row r="53" spans="1:19">
      <c r="A53" s="1117"/>
      <c r="B53" s="1118"/>
      <c r="C53" s="1118"/>
      <c r="D53" s="1118"/>
      <c r="E53" s="1118"/>
      <c r="F53" s="1118"/>
      <c r="G53" s="1118"/>
      <c r="H53" s="889"/>
      <c r="I53" s="889"/>
      <c r="J53" s="889"/>
      <c r="K53" s="889"/>
      <c r="L53" s="889"/>
      <c r="M53" s="889"/>
      <c r="N53" s="889"/>
      <c r="O53" s="889"/>
      <c r="P53" s="889"/>
      <c r="Q53" s="889"/>
      <c r="R53" s="889"/>
      <c r="S53" s="889"/>
    </row>
    <row r="54" spans="1:19">
      <c r="A54" s="906"/>
      <c r="B54" s="889"/>
      <c r="C54" s="889"/>
      <c r="D54" s="889"/>
      <c r="E54" s="889"/>
      <c r="F54" s="889"/>
      <c r="G54" s="889"/>
      <c r="H54" s="889"/>
      <c r="I54" s="889"/>
      <c r="J54" s="889"/>
      <c r="K54" s="889"/>
      <c r="L54" s="889"/>
      <c r="M54" s="889"/>
      <c r="N54" s="889"/>
      <c r="O54" s="889"/>
      <c r="P54" s="889"/>
      <c r="Q54" s="889"/>
      <c r="R54" s="889"/>
      <c r="S54" s="889"/>
    </row>
    <row r="55" spans="1:19">
      <c r="A55" s="906"/>
      <c r="B55" s="889"/>
      <c r="C55" s="889"/>
      <c r="D55" s="889"/>
      <c r="E55" s="889"/>
      <c r="F55" s="889"/>
      <c r="G55" s="889"/>
      <c r="H55" s="889"/>
      <c r="I55" s="889"/>
      <c r="J55" s="889"/>
      <c r="K55" s="889"/>
      <c r="L55" s="889"/>
      <c r="M55" s="889"/>
      <c r="N55" s="889"/>
      <c r="O55" s="889"/>
      <c r="P55" s="889"/>
      <c r="Q55" s="889"/>
      <c r="R55" s="889"/>
      <c r="S55" s="889"/>
    </row>
    <row r="56" spans="1:19">
      <c r="A56" s="889"/>
      <c r="B56" s="889"/>
      <c r="C56" s="889"/>
      <c r="D56" s="889"/>
      <c r="E56" s="889"/>
      <c r="F56" s="889"/>
      <c r="G56" s="889"/>
      <c r="H56" s="889"/>
    </row>
    <row r="57" spans="1:19">
      <c r="A57" s="889"/>
      <c r="B57" s="889"/>
      <c r="C57" s="889"/>
      <c r="D57" s="889"/>
      <c r="E57" s="889"/>
      <c r="F57" s="889"/>
      <c r="G57" s="889"/>
      <c r="H57" s="889"/>
    </row>
    <row r="58" spans="1:19">
      <c r="A58" s="927">
        <v>2020</v>
      </c>
      <c r="B58" s="889"/>
      <c r="C58" s="889"/>
      <c r="D58" s="889"/>
      <c r="E58" s="889"/>
      <c r="F58" s="889"/>
      <c r="G58" s="889"/>
      <c r="H58" s="889"/>
    </row>
    <row r="59" spans="1:19">
      <c r="A59" s="927">
        <v>2021</v>
      </c>
      <c r="B59" s="889"/>
      <c r="C59" s="889"/>
      <c r="D59" s="889"/>
      <c r="E59" s="889"/>
      <c r="F59" s="889"/>
      <c r="G59" s="889"/>
      <c r="H59" s="889"/>
    </row>
    <row r="60" spans="1:19">
      <c r="A60" s="889"/>
      <c r="B60" s="889"/>
      <c r="C60" s="889"/>
      <c r="D60" s="889"/>
      <c r="E60" s="889"/>
      <c r="F60" s="889"/>
      <c r="G60" s="889"/>
      <c r="H60" s="889"/>
    </row>
    <row r="61" spans="1:19">
      <c r="A61" s="889"/>
      <c r="B61" s="889"/>
      <c r="C61" s="889"/>
      <c r="D61" s="889"/>
      <c r="E61" s="889"/>
      <c r="F61" s="889"/>
      <c r="G61" s="889"/>
      <c r="H61" s="889"/>
    </row>
    <row r="62" spans="1:19">
      <c r="A62" s="889"/>
      <c r="B62" s="889"/>
      <c r="C62" s="889"/>
      <c r="D62" s="889"/>
      <c r="E62" s="889"/>
      <c r="F62" s="889"/>
      <c r="G62" s="889"/>
      <c r="H62" s="889"/>
    </row>
  </sheetData>
  <mergeCells count="11">
    <mergeCell ref="A20:G20"/>
    <mergeCell ref="A10:G10"/>
    <mergeCell ref="A1:G1"/>
    <mergeCell ref="A53:G53"/>
    <mergeCell ref="B30:C30"/>
    <mergeCell ref="B41:C41"/>
    <mergeCell ref="A12:G12"/>
    <mergeCell ref="B32:C32"/>
    <mergeCell ref="B17:G17"/>
    <mergeCell ref="B18:G18"/>
    <mergeCell ref="B16:G16"/>
  </mergeCells>
  <phoneticPr fontId="54" type="noConversion"/>
  <pageMargins left="0.75" right="0.75" top="1" bottom="1" header="0.5" footer="0.5"/>
  <pageSetup scale="69" orientation="portrait" r:id="rId1"/>
  <headerFooter alignWithMargins="0">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16"/>
  <sheetViews>
    <sheetView zoomScaleNormal="100" workbookViewId="0">
      <selection activeCell="H16" sqref="H16"/>
    </sheetView>
  </sheetViews>
  <sheetFormatPr defaultRowHeight="15.6"/>
  <cols>
    <col min="6" max="6" width="15.5" customWidth="1"/>
    <col min="7" max="7" width="1.625" customWidth="1"/>
    <col min="8" max="8" width="15.5" customWidth="1"/>
    <col min="10" max="10" width="14.875" customWidth="1"/>
    <col min="11" max="11" width="3.125" customWidth="1"/>
  </cols>
  <sheetData>
    <row r="1" spans="1:14" ht="23.25" customHeight="1">
      <c r="A1" s="1127" t="str">
        <f>'99'!A90&amp;": Student-to-Faculty Ratio"</f>
        <v>FALL 2021: Student-to-Faculty Ratio</v>
      </c>
      <c r="B1" s="1127"/>
      <c r="C1" s="1127"/>
      <c r="D1" s="1127"/>
      <c r="E1" s="1127"/>
      <c r="F1" s="1127"/>
      <c r="G1" s="1127"/>
      <c r="H1" s="1127"/>
      <c r="I1" s="1127"/>
      <c r="J1" s="1127"/>
      <c r="K1" s="1127"/>
      <c r="M1" s="954" t="s">
        <v>508</v>
      </c>
      <c r="N1" s="954" t="s">
        <v>189</v>
      </c>
    </row>
    <row r="2" spans="1:14" ht="27" customHeight="1">
      <c r="A2" s="1128" t="s">
        <v>509</v>
      </c>
      <c r="B2" s="1128"/>
      <c r="C2" s="1128"/>
      <c r="D2" s="1128"/>
      <c r="E2" s="1128"/>
      <c r="F2" s="1128"/>
      <c r="G2" s="1128"/>
      <c r="H2" s="1128"/>
      <c r="I2" s="1128"/>
      <c r="J2" s="1128"/>
      <c r="K2" s="1128"/>
    </row>
    <row r="3" spans="1:14">
      <c r="A3" s="599" t="str">
        <f>'99'!A2</f>
        <v>2122</v>
      </c>
      <c r="B3" s="525"/>
      <c r="C3" s="525"/>
      <c r="D3" s="525"/>
      <c r="E3" s="525"/>
      <c r="F3" s="525"/>
      <c r="G3" s="525"/>
      <c r="H3" s="525"/>
      <c r="I3" s="525"/>
      <c r="J3" s="525"/>
      <c r="K3" s="948"/>
    </row>
    <row r="4" spans="1:14" ht="16.149999999999999" thickBot="1">
      <c r="A4" s="30" t="str">
        <f>'99'!A3</f>
        <v>Western Connecticut State University</v>
      </c>
      <c r="B4" s="385"/>
      <c r="C4" s="593" t="s">
        <v>61</v>
      </c>
      <c r="D4" s="593"/>
      <c r="E4" s="593"/>
      <c r="F4" s="74"/>
      <c r="G4" s="72"/>
      <c r="H4" s="196" t="s">
        <v>195</v>
      </c>
      <c r="I4" s="78" t="str">
        <f>'99'!N3</f>
        <v>Jerry Wilcox</v>
      </c>
      <c r="J4" s="79"/>
      <c r="K4" s="947"/>
      <c r="L4" s="944"/>
    </row>
    <row r="5" spans="1:14" ht="16.149999999999999" thickBot="1">
      <c r="A5" s="1094">
        <f>'99'!A4</f>
        <v>130776</v>
      </c>
      <c r="B5" s="1180"/>
      <c r="C5" s="593"/>
      <c r="D5" s="593"/>
      <c r="E5" s="593"/>
      <c r="F5" s="74"/>
      <c r="G5" s="526"/>
      <c r="H5" s="196" t="s">
        <v>196</v>
      </c>
      <c r="I5" s="78" t="str">
        <f>'99'!N4</f>
        <v>Director, Institutional Research and Assessment</v>
      </c>
      <c r="J5" s="79"/>
      <c r="K5" s="947"/>
      <c r="L5" s="944"/>
    </row>
    <row r="6" spans="1:14" ht="16.149999999999999" thickBot="1">
      <c r="A6" s="388" t="str">
        <f>'99'!A5</f>
        <v>Danbury</v>
      </c>
      <c r="B6" s="385"/>
      <c r="C6" s="593"/>
      <c r="D6" s="593"/>
      <c r="E6" s="593"/>
      <c r="F6" s="74"/>
      <c r="G6" s="526"/>
      <c r="H6" s="196" t="s">
        <v>197</v>
      </c>
      <c r="I6" s="1041" t="str">
        <f>'99'!N5</f>
        <v>203-837-8242</v>
      </c>
      <c r="J6" s="1181"/>
      <c r="K6" s="947"/>
      <c r="L6" s="944"/>
    </row>
    <row r="7" spans="1:14">
      <c r="A7" s="593"/>
      <c r="B7" s="74"/>
      <c r="C7" s="593"/>
      <c r="D7" s="74"/>
      <c r="E7" s="593"/>
      <c r="F7" s="74"/>
      <c r="G7" s="593"/>
      <c r="H7" s="74"/>
      <c r="I7" s="593"/>
      <c r="J7" s="74"/>
      <c r="K7" s="948"/>
    </row>
    <row r="8" spans="1:14">
      <c r="A8" s="593"/>
      <c r="B8" s="74"/>
      <c r="C8" s="593"/>
      <c r="D8" s="74"/>
      <c r="E8" s="593"/>
      <c r="F8" s="74"/>
      <c r="G8" s="593"/>
      <c r="H8" s="74"/>
      <c r="I8" s="593"/>
      <c r="J8" s="74"/>
      <c r="K8" s="948"/>
    </row>
    <row r="9" spans="1:14">
      <c r="A9" s="945" t="s">
        <v>510</v>
      </c>
      <c r="B9" s="946"/>
      <c r="C9" s="947"/>
      <c r="D9" s="946"/>
      <c r="E9" s="947"/>
      <c r="F9" s="946"/>
      <c r="G9" s="947"/>
      <c r="H9" s="946"/>
      <c r="I9" s="947"/>
      <c r="J9" s="946"/>
      <c r="K9" s="948"/>
    </row>
    <row r="10" spans="1:14">
      <c r="A10" s="945"/>
      <c r="B10" s="946"/>
      <c r="C10" s="947"/>
      <c r="D10" s="946"/>
      <c r="E10" s="947"/>
      <c r="F10" s="946"/>
      <c r="G10" s="947"/>
      <c r="H10" s="946"/>
      <c r="I10" s="947"/>
      <c r="J10" s="946"/>
      <c r="K10" s="948"/>
    </row>
    <row r="11" spans="1:14">
      <c r="A11" s="948" t="s">
        <v>511</v>
      </c>
      <c r="B11" s="948"/>
      <c r="C11" s="948"/>
      <c r="D11" s="948"/>
      <c r="E11" s="948"/>
      <c r="F11" s="948"/>
      <c r="G11" s="948"/>
      <c r="H11" s="948"/>
      <c r="I11" s="948"/>
      <c r="J11" s="948"/>
      <c r="K11" s="948"/>
    </row>
    <row r="12" spans="1:14">
      <c r="A12" s="948"/>
      <c r="B12" s="948"/>
      <c r="C12" s="948"/>
      <c r="D12" s="948"/>
      <c r="E12" s="948"/>
      <c r="F12" s="1129"/>
      <c r="G12" s="1129"/>
      <c r="H12" s="1129"/>
      <c r="I12" s="948"/>
      <c r="J12" s="949"/>
      <c r="K12" s="948"/>
    </row>
    <row r="13" spans="1:14">
      <c r="A13" s="948"/>
      <c r="B13" s="948"/>
      <c r="C13" s="948"/>
      <c r="D13" s="948"/>
      <c r="E13" s="948"/>
      <c r="F13" s="949"/>
      <c r="G13" s="949"/>
      <c r="H13" s="949"/>
      <c r="I13" s="948"/>
      <c r="J13" s="949"/>
      <c r="K13" s="948"/>
    </row>
    <row r="14" spans="1:14">
      <c r="A14" s="948"/>
      <c r="B14" s="948"/>
      <c r="C14" s="948"/>
      <c r="D14" s="948"/>
      <c r="E14" s="948"/>
      <c r="F14" s="948"/>
      <c r="G14" s="948"/>
      <c r="H14" s="948"/>
      <c r="I14" s="948"/>
      <c r="J14" s="948"/>
      <c r="K14" s="948"/>
    </row>
    <row r="15" spans="1:14">
      <c r="A15" s="948" t="s">
        <v>512</v>
      </c>
      <c r="B15" s="948"/>
      <c r="C15" s="948"/>
      <c r="D15" s="948"/>
      <c r="E15" s="948"/>
      <c r="F15" s="955"/>
      <c r="G15" s="948"/>
      <c r="H15" s="950">
        <v>11</v>
      </c>
      <c r="I15" s="956" t="s">
        <v>513</v>
      </c>
      <c r="J15" s="955"/>
      <c r="K15" s="948"/>
    </row>
    <row r="16" spans="1:14">
      <c r="A16" s="948"/>
      <c r="B16" s="948"/>
      <c r="C16" s="948"/>
      <c r="D16" s="948"/>
      <c r="E16" s="948"/>
      <c r="F16" s="948"/>
      <c r="G16" s="948"/>
      <c r="H16" s="948"/>
      <c r="I16" s="948"/>
      <c r="J16" s="948"/>
      <c r="K16" s="948"/>
    </row>
  </sheetData>
  <mergeCells count="5">
    <mergeCell ref="A1:K1"/>
    <mergeCell ref="A2:K2"/>
    <mergeCell ref="A5:B5"/>
    <mergeCell ref="I6:J6"/>
    <mergeCell ref="F12:H12"/>
  </mergeCells>
  <pageMargins left="0.7" right="0.7" top="0.75" bottom="0.75" header="0.3" footer="0.3"/>
  <pageSetup scale="8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59"/>
  <sheetViews>
    <sheetView workbookViewId="0">
      <selection activeCell="E55" sqref="E55"/>
    </sheetView>
  </sheetViews>
  <sheetFormatPr defaultRowHeight="15.6"/>
  <cols>
    <col min="6" max="6" width="15.5" customWidth="1"/>
    <col min="7" max="7" width="1.625" customWidth="1"/>
    <col min="8" max="8" width="15.5" customWidth="1"/>
    <col min="10" max="10" width="14.875" customWidth="1"/>
    <col min="11" max="11" width="3.125" customWidth="1"/>
    <col min="12" max="18" width="8.75" style="948"/>
  </cols>
  <sheetData>
    <row r="1" spans="1:14" ht="23.25" customHeight="1">
      <c r="A1" s="1127" t="str">
        <f>'99'!A90&amp;": Distance Education Status"</f>
        <v>FALL 2021: Distance Education Status</v>
      </c>
      <c r="B1" s="1127"/>
      <c r="C1" s="1127"/>
      <c r="D1" s="1127"/>
      <c r="E1" s="1127"/>
      <c r="F1" s="1127"/>
      <c r="G1" s="1127"/>
      <c r="H1" s="1127"/>
      <c r="I1" s="1127"/>
      <c r="J1" s="1127"/>
      <c r="K1" s="1127"/>
      <c r="M1" s="961" t="s">
        <v>508</v>
      </c>
      <c r="N1" s="961" t="s">
        <v>189</v>
      </c>
    </row>
    <row r="2" spans="1:14" ht="27" customHeight="1">
      <c r="A2" s="1128" t="s">
        <v>514</v>
      </c>
      <c r="B2" s="1128"/>
      <c r="C2" s="1128"/>
      <c r="D2" s="1128"/>
      <c r="E2" s="1128"/>
      <c r="F2" s="1128"/>
      <c r="G2" s="1128"/>
      <c r="H2" s="1128"/>
      <c r="I2" s="1128"/>
      <c r="J2" s="1128"/>
      <c r="K2" s="1128"/>
    </row>
    <row r="3" spans="1:14">
      <c r="A3" s="599" t="str">
        <f>'99'!A2</f>
        <v>2122</v>
      </c>
      <c r="B3" s="525"/>
      <c r="C3" s="525"/>
      <c r="D3" s="525"/>
      <c r="E3" s="525"/>
      <c r="F3" s="525"/>
      <c r="G3" s="525"/>
      <c r="H3" s="525"/>
      <c r="I3" s="525"/>
      <c r="J3" s="525"/>
      <c r="K3" s="948"/>
    </row>
    <row r="4" spans="1:14" ht="16.149999999999999" thickBot="1">
      <c r="A4" s="30" t="str">
        <f>'99'!A3</f>
        <v>Western Connecticut State University</v>
      </c>
      <c r="B4" s="385"/>
      <c r="C4" s="593" t="s">
        <v>61</v>
      </c>
      <c r="D4" s="593"/>
      <c r="E4" s="593"/>
      <c r="F4" s="74"/>
      <c r="G4" s="72"/>
      <c r="H4" s="196" t="s">
        <v>195</v>
      </c>
      <c r="I4" s="78" t="str">
        <f>'99'!N3</f>
        <v>Jerry Wilcox</v>
      </c>
      <c r="J4" s="79"/>
      <c r="K4" s="947"/>
      <c r="L4" s="946"/>
    </row>
    <row r="5" spans="1:14" ht="16.149999999999999" thickBot="1">
      <c r="A5" s="1094">
        <f>'99'!A4</f>
        <v>130776</v>
      </c>
      <c r="B5" s="1180"/>
      <c r="C5" s="593"/>
      <c r="D5" s="593"/>
      <c r="E5" s="593"/>
      <c r="F5" s="74"/>
      <c r="G5" s="526"/>
      <c r="H5" s="196" t="s">
        <v>196</v>
      </c>
      <c r="I5" s="78" t="str">
        <f>'99'!N4</f>
        <v>Director, Institutional Research and Assessment</v>
      </c>
      <c r="J5" s="79"/>
      <c r="K5" s="947"/>
      <c r="L5" s="946"/>
    </row>
    <row r="6" spans="1:14" ht="16.149999999999999" thickBot="1">
      <c r="A6" s="388" t="str">
        <f>'99'!A5</f>
        <v>Danbury</v>
      </c>
      <c r="B6" s="385"/>
      <c r="C6" s="593"/>
      <c r="D6" s="593"/>
      <c r="E6" s="593"/>
      <c r="F6" s="74"/>
      <c r="G6" s="526"/>
      <c r="H6" s="196" t="s">
        <v>197</v>
      </c>
      <c r="I6" s="1041" t="str">
        <f>'99'!N5</f>
        <v>203-837-8242</v>
      </c>
      <c r="J6" s="1181"/>
      <c r="K6" s="947"/>
      <c r="L6" s="946"/>
    </row>
    <row r="7" spans="1:14">
      <c r="A7" s="593"/>
      <c r="B7" s="74"/>
      <c r="C7" s="593"/>
      <c r="D7" s="74"/>
      <c r="E7" s="593"/>
      <c r="F7" s="74"/>
      <c r="G7" s="593"/>
      <c r="H7" s="74"/>
      <c r="I7" s="593"/>
      <c r="J7" s="74"/>
      <c r="K7" s="948"/>
    </row>
    <row r="8" spans="1:14">
      <c r="A8" s="593"/>
      <c r="B8" s="74"/>
      <c r="C8" s="593"/>
      <c r="D8" s="74"/>
      <c r="E8" s="593"/>
      <c r="F8" s="74"/>
      <c r="G8" s="593"/>
      <c r="H8" s="74"/>
      <c r="I8" s="593"/>
      <c r="J8" s="74"/>
      <c r="K8" s="948"/>
    </row>
    <row r="9" spans="1:14">
      <c r="A9" s="945" t="s">
        <v>515</v>
      </c>
      <c r="B9" s="946"/>
      <c r="C9" s="947"/>
      <c r="D9" s="946"/>
      <c r="E9" s="947"/>
      <c r="F9" s="946"/>
      <c r="G9" s="947"/>
      <c r="H9" s="946"/>
      <c r="I9" s="947"/>
      <c r="J9" s="946"/>
      <c r="K9" s="948"/>
    </row>
    <row r="10" spans="1:14">
      <c r="A10" s="945" t="s">
        <v>516</v>
      </c>
      <c r="B10" s="946"/>
      <c r="C10" s="947"/>
      <c r="D10" s="946"/>
      <c r="E10" s="947"/>
      <c r="F10" s="946"/>
      <c r="G10" s="947"/>
      <c r="H10" s="946"/>
      <c r="I10" s="947"/>
      <c r="J10" s="946"/>
      <c r="K10" s="948"/>
    </row>
    <row r="11" spans="1:14">
      <c r="A11" s="948"/>
      <c r="B11" s="948"/>
      <c r="C11" s="948"/>
      <c r="D11" s="948"/>
      <c r="E11" s="948"/>
      <c r="F11" s="948"/>
      <c r="G11" s="948"/>
      <c r="H11" s="948"/>
      <c r="I11" s="948"/>
      <c r="J11" s="948"/>
      <c r="K11" s="948"/>
    </row>
    <row r="12" spans="1:14">
      <c r="A12" s="948"/>
      <c r="B12" s="948"/>
      <c r="C12" s="948"/>
      <c r="D12" s="948"/>
      <c r="E12" s="948"/>
      <c r="F12" s="1129" t="s">
        <v>517</v>
      </c>
      <c r="G12" s="1129"/>
      <c r="H12" s="1129"/>
      <c r="I12" s="948"/>
      <c r="J12" s="949" t="s">
        <v>518</v>
      </c>
      <c r="K12" s="948"/>
    </row>
    <row r="13" spans="1:14">
      <c r="A13" s="948"/>
      <c r="B13" s="948"/>
      <c r="C13" s="948"/>
      <c r="D13" s="948"/>
      <c r="E13" s="948"/>
      <c r="F13" s="949"/>
      <c r="G13" s="949"/>
      <c r="H13" s="949"/>
      <c r="I13" s="948"/>
      <c r="J13" s="949"/>
      <c r="K13" s="948"/>
    </row>
    <row r="14" spans="1:14" ht="46.9">
      <c r="A14" s="948"/>
      <c r="B14" s="948"/>
      <c r="C14" s="948"/>
      <c r="D14" s="948"/>
      <c r="E14" s="948"/>
      <c r="F14" s="951" t="s">
        <v>519</v>
      </c>
      <c r="G14" s="949"/>
      <c r="H14" s="951" t="s">
        <v>520</v>
      </c>
      <c r="I14" s="948"/>
      <c r="J14" s="949"/>
      <c r="K14" s="948"/>
    </row>
    <row r="15" spans="1:14">
      <c r="A15" s="948"/>
      <c r="B15" s="948"/>
      <c r="C15" s="948"/>
      <c r="D15" s="948"/>
      <c r="E15" s="948"/>
      <c r="F15" s="948"/>
      <c r="G15" s="948"/>
      <c r="H15" s="948"/>
      <c r="I15" s="948"/>
      <c r="J15" s="948"/>
      <c r="K15" s="948"/>
    </row>
    <row r="16" spans="1:14">
      <c r="A16" s="948" t="s">
        <v>521</v>
      </c>
      <c r="B16" s="948"/>
      <c r="C16" s="948"/>
      <c r="D16" s="948"/>
      <c r="E16" s="948"/>
      <c r="F16" s="950">
        <v>134</v>
      </c>
      <c r="G16" s="948"/>
      <c r="H16" s="950">
        <v>3</v>
      </c>
      <c r="I16" s="948"/>
      <c r="J16" s="950">
        <v>332</v>
      </c>
      <c r="K16" s="948"/>
    </row>
    <row r="17" spans="1:11">
      <c r="A17" s="948"/>
      <c r="B17" s="948"/>
      <c r="C17" s="948"/>
      <c r="D17" s="948"/>
      <c r="E17" s="948"/>
      <c r="F17" s="948"/>
      <c r="G17" s="948"/>
      <c r="H17" s="948"/>
      <c r="I17" s="948"/>
      <c r="J17" s="948"/>
      <c r="K17" s="948"/>
    </row>
    <row r="18" spans="1:11">
      <c r="A18" s="948" t="s">
        <v>522</v>
      </c>
      <c r="B18" s="948"/>
      <c r="C18" s="948"/>
      <c r="D18" s="948"/>
      <c r="E18" s="948"/>
      <c r="F18" s="950">
        <v>1999</v>
      </c>
      <c r="G18" s="948"/>
      <c r="H18" s="950">
        <v>9</v>
      </c>
      <c r="I18" s="948"/>
      <c r="J18" s="950">
        <v>108</v>
      </c>
      <c r="K18" s="948"/>
    </row>
    <row r="19" spans="1:11">
      <c r="A19" s="948"/>
      <c r="B19" s="948"/>
      <c r="C19" s="948"/>
      <c r="D19" s="948"/>
      <c r="E19" s="948"/>
      <c r="F19" s="948"/>
      <c r="G19" s="948"/>
      <c r="H19" s="948"/>
      <c r="I19" s="948"/>
      <c r="J19" s="948"/>
      <c r="K19" s="948"/>
    </row>
    <row r="20" spans="1:11">
      <c r="A20" s="948" t="s">
        <v>523</v>
      </c>
      <c r="B20" s="948"/>
      <c r="C20" s="948"/>
      <c r="D20" s="948"/>
      <c r="E20" s="948"/>
      <c r="F20" s="950">
        <v>1895</v>
      </c>
      <c r="G20" s="948"/>
      <c r="H20" s="950">
        <v>132</v>
      </c>
      <c r="I20" s="948"/>
      <c r="J20" s="950">
        <v>190</v>
      </c>
      <c r="K20" s="948"/>
    </row>
    <row r="21" spans="1:11">
      <c r="A21" s="948"/>
      <c r="B21" s="948"/>
      <c r="C21" s="948"/>
      <c r="D21" s="948"/>
      <c r="E21" s="948"/>
      <c r="F21" s="948"/>
      <c r="G21" s="948"/>
      <c r="H21" s="948"/>
      <c r="I21" s="948"/>
      <c r="J21" s="948"/>
      <c r="K21" s="948"/>
    </row>
    <row r="22" spans="1:11">
      <c r="A22" s="948" t="s">
        <v>524</v>
      </c>
      <c r="B22" s="948"/>
      <c r="C22" s="948"/>
      <c r="D22" s="948"/>
      <c r="E22" s="948"/>
      <c r="F22" s="943">
        <f>F16+F18+F20</f>
        <v>4028</v>
      </c>
      <c r="G22" s="948"/>
      <c r="H22" s="943">
        <f>H16+H18+H20</f>
        <v>144</v>
      </c>
      <c r="I22" s="948"/>
      <c r="J22" s="943">
        <f>J16+J18+J20</f>
        <v>630</v>
      </c>
      <c r="K22" s="948"/>
    </row>
    <row r="23" spans="1:11">
      <c r="A23" s="948"/>
      <c r="B23" s="948"/>
      <c r="C23" s="948"/>
      <c r="D23" s="948"/>
      <c r="E23" s="948"/>
      <c r="F23" s="948"/>
      <c r="G23" s="948"/>
      <c r="H23" s="948"/>
      <c r="I23" s="948"/>
      <c r="J23" s="948"/>
      <c r="K23" s="948"/>
    </row>
    <row r="24" spans="1:11" ht="15.75" customHeight="1">
      <c r="A24" s="1131" t="s">
        <v>525</v>
      </c>
      <c r="B24" s="1131"/>
      <c r="C24" s="1131"/>
      <c r="D24" s="1131"/>
      <c r="E24" s="1131"/>
      <c r="F24" s="943">
        <f>F22+H22+J22</f>
        <v>4802</v>
      </c>
      <c r="G24" s="948"/>
      <c r="H24" s="953" t="str">
        <f>+IF(F24&lt;&gt;'99'!W72,$M$1,$N$1)</f>
        <v>ok</v>
      </c>
      <c r="I24" s="948"/>
      <c r="J24" s="948"/>
      <c r="K24" s="948"/>
    </row>
    <row r="25" spans="1:11">
      <c r="A25" s="1131"/>
      <c r="B25" s="1131"/>
      <c r="C25" s="1131"/>
      <c r="D25" s="1131"/>
      <c r="E25" s="1131"/>
      <c r="F25" s="948"/>
      <c r="G25" s="948"/>
      <c r="H25" s="953"/>
      <c r="I25" s="948"/>
      <c r="J25" s="948"/>
      <c r="K25" s="948"/>
    </row>
    <row r="26" spans="1:11">
      <c r="A26" s="948"/>
      <c r="B26" s="948"/>
      <c r="C26" s="948"/>
      <c r="D26" s="948"/>
      <c r="E26" s="948"/>
      <c r="F26" s="948"/>
      <c r="G26" s="948"/>
      <c r="H26" s="948"/>
      <c r="I26" s="948"/>
      <c r="J26" s="948"/>
      <c r="K26" s="948"/>
    </row>
    <row r="27" spans="1:11">
      <c r="A27" s="948"/>
      <c r="B27" s="948"/>
      <c r="C27" s="948"/>
      <c r="D27" s="948"/>
      <c r="E27" s="948"/>
      <c r="F27" s="1129" t="s">
        <v>517</v>
      </c>
      <c r="G27" s="1129"/>
      <c r="H27" s="1129"/>
      <c r="I27" s="948"/>
      <c r="J27" s="949" t="s">
        <v>518</v>
      </c>
      <c r="K27" s="948"/>
    </row>
    <row r="28" spans="1:11">
      <c r="A28" s="948"/>
      <c r="B28" s="948"/>
      <c r="C28" s="948"/>
      <c r="D28" s="948"/>
      <c r="E28" s="948"/>
      <c r="F28" s="949"/>
      <c r="G28" s="949"/>
      <c r="H28" s="949"/>
      <c r="I28" s="948"/>
      <c r="J28" s="949"/>
      <c r="K28" s="948"/>
    </row>
    <row r="29" spans="1:11" ht="46.9">
      <c r="A29" s="1130" t="s">
        <v>526</v>
      </c>
      <c r="B29" s="1130"/>
      <c r="C29" s="1130"/>
      <c r="D29" s="1130"/>
      <c r="E29" s="948"/>
      <c r="F29" s="951" t="s">
        <v>519</v>
      </c>
      <c r="G29" s="949"/>
      <c r="H29" s="951" t="s">
        <v>520</v>
      </c>
      <c r="I29" s="948"/>
      <c r="J29" s="949"/>
      <c r="K29" s="948"/>
    </row>
    <row r="30" spans="1:11">
      <c r="A30" s="948"/>
      <c r="B30" s="948"/>
      <c r="C30" s="948"/>
      <c r="D30" s="948"/>
      <c r="E30" s="948"/>
      <c r="F30" s="948"/>
      <c r="G30" s="948"/>
      <c r="H30" s="948"/>
      <c r="I30" s="948"/>
      <c r="J30" s="948"/>
      <c r="K30" s="948"/>
    </row>
    <row r="31" spans="1:11">
      <c r="A31" s="948" t="s">
        <v>527</v>
      </c>
      <c r="B31" s="948"/>
      <c r="C31" s="948"/>
      <c r="D31" s="948"/>
      <c r="E31" s="948"/>
      <c r="F31" s="950">
        <v>105</v>
      </c>
      <c r="G31" s="948"/>
      <c r="H31" s="950">
        <v>1</v>
      </c>
      <c r="I31" s="948"/>
      <c r="J31" s="950">
        <v>244</v>
      </c>
      <c r="K31" s="948"/>
    </row>
    <row r="32" spans="1:11">
      <c r="A32" s="948"/>
      <c r="B32" s="948"/>
      <c r="C32" s="948"/>
      <c r="D32" s="948"/>
      <c r="E32" s="948"/>
      <c r="F32" s="948"/>
      <c r="G32" s="948"/>
      <c r="H32" s="948"/>
      <c r="I32" s="948"/>
      <c r="J32" s="948"/>
      <c r="K32" s="948"/>
    </row>
    <row r="33" spans="1:11">
      <c r="A33" s="948" t="s">
        <v>528</v>
      </c>
      <c r="B33" s="948"/>
      <c r="C33" s="948"/>
      <c r="D33" s="948"/>
      <c r="E33" s="948"/>
      <c r="F33" s="950">
        <v>27</v>
      </c>
      <c r="G33" s="948"/>
      <c r="H33" s="950">
        <v>2</v>
      </c>
      <c r="I33" s="948"/>
      <c r="J33" s="950">
        <v>84</v>
      </c>
      <c r="K33" s="948"/>
    </row>
    <row r="34" spans="1:11">
      <c r="A34" s="948"/>
      <c r="B34" s="948"/>
      <c r="C34" s="948"/>
      <c r="D34" s="948"/>
      <c r="E34" s="948"/>
      <c r="F34" s="948"/>
      <c r="G34" s="948"/>
      <c r="H34" s="948"/>
      <c r="I34" s="948"/>
      <c r="J34" s="948"/>
      <c r="K34" s="948"/>
    </row>
    <row r="35" spans="1:11">
      <c r="A35" s="948" t="s">
        <v>529</v>
      </c>
      <c r="B35" s="948"/>
      <c r="C35" s="948"/>
      <c r="D35" s="948"/>
      <c r="E35" s="948"/>
      <c r="F35" s="950">
        <v>0</v>
      </c>
      <c r="G35" s="948"/>
      <c r="H35" s="950">
        <v>0</v>
      </c>
      <c r="I35" s="948"/>
      <c r="J35" s="950">
        <v>0</v>
      </c>
      <c r="K35" s="948"/>
    </row>
    <row r="36" spans="1:11">
      <c r="A36" s="948"/>
      <c r="B36" s="948"/>
      <c r="C36" s="948"/>
      <c r="D36" s="948"/>
      <c r="E36" s="948"/>
      <c r="F36" s="948"/>
      <c r="G36" s="948"/>
      <c r="H36" s="948"/>
      <c r="I36" s="948"/>
      <c r="J36" s="948"/>
      <c r="K36" s="948"/>
    </row>
    <row r="37" spans="1:11">
      <c r="A37" s="948" t="s">
        <v>530</v>
      </c>
      <c r="B37" s="948"/>
      <c r="C37" s="948"/>
      <c r="D37" s="948"/>
      <c r="E37" s="948"/>
      <c r="F37" s="950">
        <v>2</v>
      </c>
      <c r="G37" s="948"/>
      <c r="H37" s="950">
        <v>0</v>
      </c>
      <c r="I37" s="948"/>
      <c r="J37" s="950">
        <v>4</v>
      </c>
      <c r="K37" s="948"/>
    </row>
    <row r="38" spans="1:11">
      <c r="A38" s="948"/>
      <c r="B38" s="948"/>
      <c r="C38" s="948"/>
      <c r="D38" s="948"/>
      <c r="E38" s="948"/>
      <c r="F38" s="948"/>
      <c r="G38" s="948"/>
      <c r="H38" s="948"/>
      <c r="I38" s="948"/>
      <c r="J38" s="948"/>
    </row>
    <row r="39" spans="1:11">
      <c r="A39" s="948" t="s">
        <v>531</v>
      </c>
      <c r="B39" s="948"/>
      <c r="C39" s="948"/>
      <c r="D39" s="948"/>
      <c r="E39" s="948"/>
      <c r="F39" s="950">
        <v>0</v>
      </c>
      <c r="G39" s="948"/>
      <c r="H39" s="950">
        <v>0</v>
      </c>
      <c r="I39" s="948"/>
      <c r="J39" s="950">
        <v>0</v>
      </c>
    </row>
    <row r="40" spans="1:11">
      <c r="A40" s="948"/>
      <c r="B40" s="948"/>
      <c r="C40" s="948"/>
      <c r="D40" s="948"/>
      <c r="E40" s="948"/>
      <c r="F40" s="948"/>
      <c r="G40" s="948"/>
      <c r="H40" s="948"/>
      <c r="I40" s="948"/>
      <c r="J40" s="948"/>
      <c r="K40" s="948"/>
    </row>
    <row r="41" spans="1:11">
      <c r="A41" s="948" t="s">
        <v>532</v>
      </c>
      <c r="B41" s="948"/>
      <c r="C41" s="948"/>
      <c r="D41" s="948"/>
      <c r="E41" s="948"/>
      <c r="F41" s="943">
        <f>F31+F33+F35+F37+F39</f>
        <v>134</v>
      </c>
      <c r="G41" s="948"/>
      <c r="H41" s="943">
        <f>H31+H33+H35+H37+H39</f>
        <v>3</v>
      </c>
      <c r="I41" s="948"/>
      <c r="J41" s="943">
        <f>J31+J33+J35+J37+J39</f>
        <v>332</v>
      </c>
      <c r="K41" s="948"/>
    </row>
    <row r="42" spans="1:11">
      <c r="A42" s="948" t="s">
        <v>533</v>
      </c>
      <c r="B42" s="948"/>
      <c r="C42" s="948"/>
      <c r="D42" s="948"/>
      <c r="E42" s="948"/>
      <c r="F42" s="948"/>
      <c r="G42" s="948"/>
      <c r="H42" s="948"/>
      <c r="I42" s="948"/>
      <c r="J42" s="948"/>
      <c r="K42" s="948"/>
    </row>
    <row r="43" spans="1:11" s="948" customFormat="1"/>
    <row r="44" spans="1:11" s="948" customFormat="1"/>
    <row r="45" spans="1:11" s="948" customFormat="1"/>
    <row r="46" spans="1:11" s="948" customFormat="1"/>
    <row r="47" spans="1:11" s="948" customFormat="1"/>
    <row r="48" spans="1:11" s="948" customFormat="1"/>
    <row r="49" s="948" customFormat="1"/>
    <row r="50" s="948" customFormat="1"/>
    <row r="51" s="948" customFormat="1"/>
    <row r="52" s="948" customFormat="1"/>
    <row r="53" s="948" customFormat="1"/>
    <row r="54" s="948" customFormat="1"/>
    <row r="55" s="948" customFormat="1"/>
    <row r="56" s="948" customFormat="1"/>
    <row r="57" s="948" customFormat="1"/>
    <row r="58" s="948" customFormat="1"/>
    <row r="59" s="948" customFormat="1"/>
  </sheetData>
  <mergeCells count="8">
    <mergeCell ref="A1:K1"/>
    <mergeCell ref="A2:K2"/>
    <mergeCell ref="F27:H27"/>
    <mergeCell ref="A29:D29"/>
    <mergeCell ref="A24:E25"/>
    <mergeCell ref="A5:B5"/>
    <mergeCell ref="I6:J6"/>
    <mergeCell ref="F12:H12"/>
  </mergeCells>
  <pageMargins left="0.7" right="0.7" top="0.75" bottom="0.75" header="0.3" footer="0.3"/>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CR94"/>
  <sheetViews>
    <sheetView showGridLines="0" showZeros="0" defaultGridColor="0" colorId="8" zoomScaleNormal="100" zoomScaleSheetLayoutView="50" workbookViewId="0">
      <selection activeCell="T63" sqref="T63"/>
    </sheetView>
  </sheetViews>
  <sheetFormatPr defaultColWidth="0" defaultRowHeight="10.15"/>
  <cols>
    <col min="1" max="1" width="28.875" style="12" customWidth="1"/>
    <col min="2" max="2" width="3" style="11" customWidth="1"/>
    <col min="3" max="3" width="4.125" style="12" customWidth="1"/>
    <col min="4" max="4" width="4.5" style="12" customWidth="1"/>
    <col min="5" max="5" width="4.125" style="12" customWidth="1"/>
    <col min="6" max="6" width="4.5" style="12" customWidth="1"/>
    <col min="7" max="7" width="4.125" style="12" customWidth="1"/>
    <col min="8" max="8" width="4.5" style="12" customWidth="1"/>
    <col min="9" max="9" width="4.125" style="12" customWidth="1"/>
    <col min="10" max="10" width="4.5" style="12" customWidth="1"/>
    <col min="11" max="11" width="4.125" style="12" customWidth="1"/>
    <col min="12" max="12" width="4.5" style="12" customWidth="1"/>
    <col min="13" max="14" width="5.125" style="12" customWidth="1"/>
    <col min="15" max="15" width="4.125" style="12" customWidth="1"/>
    <col min="16" max="20" width="4.5" style="12" customWidth="1"/>
    <col min="21" max="21" width="4.75" style="13" customWidth="1"/>
    <col min="22" max="23" width="5.625" style="13" customWidth="1"/>
    <col min="24" max="24" width="2.875" style="12" customWidth="1"/>
    <col min="25" max="53" width="6.625" style="12" hidden="1" customWidth="1"/>
    <col min="54" max="16384" width="0" style="12" hidden="1"/>
  </cols>
  <sheetData>
    <row r="1" spans="1:96" s="3" customFormat="1" ht="27.6">
      <c r="A1" s="814" t="str">
        <f>Cover!$A$3</f>
        <v>FALL ENROLLMENT 2021</v>
      </c>
      <c r="B1" s="33"/>
      <c r="C1" s="33"/>
      <c r="D1" s="33"/>
      <c r="E1" s="33"/>
      <c r="F1" s="33"/>
      <c r="G1" s="33"/>
      <c r="H1" s="33"/>
      <c r="I1" s="33"/>
      <c r="J1" s="33"/>
      <c r="K1" s="33"/>
      <c r="L1" s="33"/>
      <c r="M1" s="33"/>
      <c r="N1" s="33"/>
      <c r="O1" s="33"/>
      <c r="P1" s="33"/>
      <c r="Q1" s="33"/>
      <c r="R1" s="33"/>
      <c r="S1" s="33"/>
      <c r="T1" s="33"/>
      <c r="U1" s="33"/>
      <c r="V1" s="33"/>
      <c r="W1" s="33"/>
      <c r="X1" s="790">
        <f>IF(COUNT(C18:P25,C28:P29,C32:P34,C48:P55,C58:P59,C62:P64)&gt;0,1,0)</f>
        <v>1</v>
      </c>
    </row>
    <row r="2" spans="1:96" s="4" customFormat="1">
      <c r="A2" s="249" t="str">
        <f>Cover!A62</f>
        <v>2122</v>
      </c>
      <c r="B2" s="56"/>
      <c r="C2" s="56"/>
      <c r="D2" s="56"/>
      <c r="E2" s="56"/>
      <c r="F2" s="56"/>
      <c r="G2" s="56"/>
      <c r="H2" s="56"/>
      <c r="I2" s="56"/>
      <c r="J2" s="56"/>
    </row>
    <row r="3" spans="1:96" s="3" customFormat="1" ht="13.9" thickBot="1">
      <c r="A3" s="802" t="str">
        <f>Cover!$A$8</f>
        <v>Western Connecticut State University</v>
      </c>
      <c r="B3" s="57"/>
      <c r="C3" s="58"/>
      <c r="D3" s="57"/>
      <c r="E3" s="57"/>
      <c r="F3" s="57"/>
      <c r="G3" s="57"/>
      <c r="H3" s="57"/>
      <c r="I3" s="57"/>
      <c r="J3" s="57"/>
      <c r="K3" s="5" t="s">
        <v>48</v>
      </c>
      <c r="M3" s="2"/>
      <c r="N3" s="6" t="str">
        <f>+Cover!$A$10</f>
        <v>Jerry Wilcox</v>
      </c>
      <c r="O3" s="7"/>
      <c r="P3" s="8"/>
      <c r="Q3" s="8"/>
      <c r="R3" s="8"/>
      <c r="S3" s="8"/>
      <c r="T3" s="8"/>
      <c r="U3" s="7"/>
      <c r="X3" s="789"/>
    </row>
    <row r="4" spans="1:96" s="3" customFormat="1" ht="13.9" thickBot="1">
      <c r="A4" s="31">
        <f>Cover!$B$8</f>
        <v>130776</v>
      </c>
      <c r="B4" s="57"/>
      <c r="C4" s="58"/>
      <c r="D4" s="57"/>
      <c r="E4" s="56"/>
      <c r="F4" s="57"/>
      <c r="G4" s="56"/>
      <c r="H4" s="57"/>
      <c r="I4" s="56"/>
      <c r="J4" s="57"/>
      <c r="K4" s="5" t="s">
        <v>49</v>
      </c>
      <c r="M4" s="9"/>
      <c r="N4" s="6" t="str">
        <f>+Cover!$B$10</f>
        <v>Director, Institutional Research and Assessment</v>
      </c>
      <c r="O4" s="7"/>
      <c r="P4" s="8"/>
      <c r="Q4" s="8"/>
      <c r="R4" s="8"/>
      <c r="S4" s="8"/>
      <c r="T4" s="8"/>
      <c r="U4" s="7"/>
    </row>
    <row r="5" spans="1:96" s="3" customFormat="1" ht="16.149999999999999" thickBot="1">
      <c r="A5" s="32" t="str">
        <f>Cover!$C$8</f>
        <v>Danbury</v>
      </c>
      <c r="B5" s="57"/>
      <c r="C5" s="58"/>
      <c r="D5" s="57"/>
      <c r="E5" s="56"/>
      <c r="F5" s="57"/>
      <c r="G5" s="56"/>
      <c r="H5" s="57"/>
      <c r="I5" s="56"/>
      <c r="J5" s="57"/>
      <c r="K5" s="5" t="s">
        <v>50</v>
      </c>
      <c r="M5" s="9"/>
      <c r="N5" s="990" t="str">
        <f>+Cover!$C$10</f>
        <v>203-837-8242</v>
      </c>
      <c r="O5" s="1152"/>
      <c r="P5" s="1152"/>
      <c r="Q5" s="939"/>
      <c r="R5" s="939"/>
      <c r="S5" s="939"/>
      <c r="T5" s="939"/>
      <c r="U5" s="7"/>
    </row>
    <row r="6" spans="1:96" ht="10.5" customHeight="1">
      <c r="A6" s="10"/>
      <c r="B6" s="56"/>
      <c r="C6" s="56"/>
      <c r="D6" s="56"/>
      <c r="E6" s="56"/>
      <c r="F6" s="56"/>
      <c r="G6" s="56"/>
      <c r="H6" s="56"/>
      <c r="I6" s="56"/>
      <c r="J6" s="56"/>
      <c r="L6" s="9"/>
      <c r="N6" s="9"/>
      <c r="P6" s="9"/>
      <c r="Q6" s="9"/>
      <c r="R6" s="9"/>
      <c r="S6" s="9"/>
      <c r="T6" s="9"/>
      <c r="V6" s="14"/>
      <c r="W6" s="14"/>
    </row>
    <row r="7" spans="1:96" ht="20.45">
      <c r="A7" s="537" t="s">
        <v>51</v>
      </c>
    </row>
    <row r="8" spans="1:96">
      <c r="A8" s="10" t="s">
        <v>52</v>
      </c>
    </row>
    <row r="9" spans="1: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96">
      <c r="A10" s="984" t="s">
        <v>164</v>
      </c>
      <c r="B10" s="36"/>
      <c r="C10" s="991" t="s">
        <v>54</v>
      </c>
      <c r="D10" s="992"/>
      <c r="E10" s="991" t="s">
        <v>55</v>
      </c>
      <c r="F10" s="992"/>
      <c r="G10" s="991" t="s">
        <v>56</v>
      </c>
      <c r="H10" s="992"/>
      <c r="I10" s="991"/>
      <c r="J10" s="992"/>
      <c r="K10" s="991" t="s">
        <v>57</v>
      </c>
      <c r="L10" s="992"/>
      <c r="M10" s="991"/>
      <c r="N10" s="992"/>
      <c r="O10" s="991" t="s">
        <v>58</v>
      </c>
      <c r="P10" s="992"/>
      <c r="Q10" s="991" t="s">
        <v>59</v>
      </c>
      <c r="R10" s="992"/>
      <c r="S10" s="991" t="s">
        <v>60</v>
      </c>
      <c r="T10" s="992"/>
      <c r="U10" s="59" t="s">
        <v>61</v>
      </c>
      <c r="V10" s="60"/>
      <c r="W10" s="61"/>
    </row>
    <row r="11" spans="1:96" ht="12" customHeight="1">
      <c r="A11" s="985"/>
      <c r="B11" s="20"/>
      <c r="C11" s="993" t="s">
        <v>62</v>
      </c>
      <c r="D11" s="994"/>
      <c r="E11" s="993" t="s">
        <v>63</v>
      </c>
      <c r="F11" s="994"/>
      <c r="G11" s="993" t="s">
        <v>64</v>
      </c>
      <c r="H11" s="994"/>
      <c r="I11" s="993" t="s">
        <v>65</v>
      </c>
      <c r="J11" s="994"/>
      <c r="K11" s="993" t="s">
        <v>66</v>
      </c>
      <c r="L11" s="994"/>
      <c r="M11" s="993" t="s">
        <v>67</v>
      </c>
      <c r="N11" s="994"/>
      <c r="O11" s="993" t="s">
        <v>68</v>
      </c>
      <c r="P11" s="994"/>
      <c r="Q11" s="993" t="s">
        <v>69</v>
      </c>
      <c r="R11" s="994"/>
      <c r="S11" s="993" t="s">
        <v>70</v>
      </c>
      <c r="T11" s="994"/>
      <c r="U11" s="62" t="s">
        <v>71</v>
      </c>
      <c r="V11" s="63"/>
      <c r="W11" s="64"/>
    </row>
    <row r="12" spans="1:96" s="17" customFormat="1" ht="12" customHeight="1">
      <c r="A12" s="986" t="s">
        <v>165</v>
      </c>
      <c r="B12" s="20"/>
      <c r="C12" s="995" t="s">
        <v>73</v>
      </c>
      <c r="D12" s="996"/>
      <c r="E12" s="995" t="s">
        <v>56</v>
      </c>
      <c r="F12" s="996"/>
      <c r="G12" s="995" t="s">
        <v>74</v>
      </c>
      <c r="H12" s="996"/>
      <c r="I12" s="995"/>
      <c r="J12" s="996"/>
      <c r="K12" s="995" t="s">
        <v>75</v>
      </c>
      <c r="L12" s="996"/>
      <c r="M12" s="995"/>
      <c r="N12" s="996"/>
      <c r="O12" s="995" t="s">
        <v>76</v>
      </c>
      <c r="P12" s="996"/>
      <c r="Q12" s="995" t="s">
        <v>77</v>
      </c>
      <c r="R12" s="996"/>
      <c r="S12" s="995" t="s">
        <v>78</v>
      </c>
      <c r="T12" s="996"/>
      <c r="U12" s="65" t="s">
        <v>79</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7.25" customHeight="1">
      <c r="A13" s="1153"/>
      <c r="B13" s="20" t="s">
        <v>80</v>
      </c>
      <c r="C13" s="68" t="s">
        <v>81</v>
      </c>
      <c r="D13" s="23" t="s">
        <v>82</v>
      </c>
      <c r="E13" s="68" t="s">
        <v>81</v>
      </c>
      <c r="F13" s="23" t="s">
        <v>82</v>
      </c>
      <c r="G13" s="68" t="s">
        <v>81</v>
      </c>
      <c r="H13" s="23" t="s">
        <v>82</v>
      </c>
      <c r="I13" s="68" t="s">
        <v>81</v>
      </c>
      <c r="J13" s="23" t="s">
        <v>82</v>
      </c>
      <c r="K13" s="68" t="s">
        <v>81</v>
      </c>
      <c r="L13" s="23" t="s">
        <v>82</v>
      </c>
      <c r="M13" s="68" t="s">
        <v>81</v>
      </c>
      <c r="N13" s="23" t="s">
        <v>82</v>
      </c>
      <c r="O13" s="68" t="s">
        <v>81</v>
      </c>
      <c r="P13" s="23" t="s">
        <v>82</v>
      </c>
      <c r="Q13" s="68" t="s">
        <v>81</v>
      </c>
      <c r="R13" s="23" t="s">
        <v>82</v>
      </c>
      <c r="S13" s="68" t="s">
        <v>81</v>
      </c>
      <c r="T13" s="23" t="s">
        <v>82</v>
      </c>
      <c r="U13" s="69" t="s">
        <v>81</v>
      </c>
      <c r="V13" s="21" t="s">
        <v>82</v>
      </c>
      <c r="W13" s="21" t="s">
        <v>83</v>
      </c>
    </row>
    <row r="14" spans="1:96" s="17" customFormat="1" ht="14.25" customHeight="1">
      <c r="A14" s="601" t="s">
        <v>84</v>
      </c>
      <c r="B14" s="20" t="s">
        <v>85</v>
      </c>
      <c r="C14" s="70" t="s">
        <v>86</v>
      </c>
      <c r="D14" s="70" t="s">
        <v>87</v>
      </c>
      <c r="E14" s="70" t="s">
        <v>88</v>
      </c>
      <c r="F14" s="70" t="s">
        <v>89</v>
      </c>
      <c r="G14" s="70" t="s">
        <v>90</v>
      </c>
      <c r="H14" s="70" t="s">
        <v>91</v>
      </c>
      <c r="I14" s="70" t="s">
        <v>92</v>
      </c>
      <c r="J14" s="70" t="s">
        <v>93</v>
      </c>
      <c r="K14" s="70" t="s">
        <v>94</v>
      </c>
      <c r="L14" s="70" t="s">
        <v>95</v>
      </c>
      <c r="M14" s="70" t="s">
        <v>96</v>
      </c>
      <c r="N14" s="70" t="s">
        <v>97</v>
      </c>
      <c r="O14" s="70" t="s">
        <v>98</v>
      </c>
      <c r="P14" s="70" t="s">
        <v>99</v>
      </c>
      <c r="Q14" s="70" t="s">
        <v>100</v>
      </c>
      <c r="R14" s="70" t="s">
        <v>101</v>
      </c>
      <c r="S14" s="70" t="s">
        <v>102</v>
      </c>
      <c r="T14" s="70" t="s">
        <v>103</v>
      </c>
      <c r="U14" s="71" t="s">
        <v>104</v>
      </c>
      <c r="V14" s="71" t="s">
        <v>105</v>
      </c>
      <c r="W14" s="71" t="s">
        <v>106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987" t="s">
        <v>107</v>
      </c>
      <c r="B15" s="988"/>
      <c r="C15" s="988"/>
      <c r="D15" s="988"/>
      <c r="E15" s="988"/>
      <c r="F15" s="988"/>
      <c r="G15" s="988"/>
      <c r="H15" s="988"/>
      <c r="I15" s="988"/>
      <c r="J15" s="988"/>
      <c r="K15" s="988"/>
      <c r="L15" s="988"/>
      <c r="M15" s="988"/>
      <c r="N15" s="988"/>
      <c r="O15" s="988"/>
      <c r="P15" s="988"/>
      <c r="Q15" s="988"/>
      <c r="R15" s="988"/>
      <c r="S15" s="988"/>
      <c r="T15" s="988"/>
      <c r="U15" s="988"/>
      <c r="V15" s="988"/>
      <c r="W15" s="98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96" ht="17.45">
      <c r="A16" s="548" t="s">
        <v>108</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96" ht="13.15">
      <c r="A17" s="37" t="s">
        <v>109</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4.1" customHeight="1">
      <c r="A18" s="823" t="s">
        <v>110</v>
      </c>
      <c r="B18" s="34" t="s">
        <v>111</v>
      </c>
      <c r="C18" s="40"/>
      <c r="D18" s="41"/>
      <c r="E18" s="40">
        <v>1</v>
      </c>
      <c r="F18" s="41"/>
      <c r="G18" s="40"/>
      <c r="H18" s="41"/>
      <c r="I18" s="40">
        <v>1</v>
      </c>
      <c r="J18" s="41">
        <v>3</v>
      </c>
      <c r="K18" s="40">
        <v>4</v>
      </c>
      <c r="L18" s="41">
        <v>9</v>
      </c>
      <c r="M18" s="40">
        <v>14</v>
      </c>
      <c r="N18" s="41">
        <v>36</v>
      </c>
      <c r="O18" s="40">
        <v>1</v>
      </c>
      <c r="P18" s="41"/>
      <c r="Q18" s="40"/>
      <c r="R18" s="46"/>
      <c r="S18" s="40"/>
      <c r="T18" s="46">
        <v>3</v>
      </c>
      <c r="U18" s="47">
        <f>C18+E18+G18+I18+K18+M18+O18+Q18+S18</f>
        <v>21</v>
      </c>
      <c r="V18" s="47">
        <f>D18+F18+H18+J18+L18+N18+P18+R18+T18</f>
        <v>51</v>
      </c>
      <c r="W18" s="44">
        <f>+V18+U18</f>
        <v>72</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4.1" customHeight="1">
      <c r="A19" s="824" t="s">
        <v>112</v>
      </c>
      <c r="B19" s="820" t="s">
        <v>113</v>
      </c>
      <c r="C19" s="40"/>
      <c r="D19" s="41"/>
      <c r="E19" s="40"/>
      <c r="F19" s="41"/>
      <c r="G19" s="40"/>
      <c r="H19" s="41"/>
      <c r="I19" s="40"/>
      <c r="J19" s="41"/>
      <c r="K19" s="40"/>
      <c r="L19" s="41"/>
      <c r="M19" s="40">
        <v>2</v>
      </c>
      <c r="N19" s="41">
        <v>4</v>
      </c>
      <c r="O19" s="40"/>
      <c r="P19" s="41">
        <v>1</v>
      </c>
      <c r="Q19" s="40"/>
      <c r="R19" s="46"/>
      <c r="S19" s="40">
        <v>1</v>
      </c>
      <c r="T19" s="46"/>
      <c r="U19" s="47">
        <f>C19+E19+G19+I19+K19+M19+O19+Q19+S19</f>
        <v>3</v>
      </c>
      <c r="V19" s="47">
        <f>D19+F19+H19+J19+L19+N19+P19+R19+T19</f>
        <v>5</v>
      </c>
      <c r="W19" s="618">
        <f>+V19+U19</f>
        <v>8</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4.1" customHeight="1">
      <c r="A20" s="829" t="s">
        <v>114</v>
      </c>
      <c r="B20" s="822"/>
      <c r="C20" s="136"/>
      <c r="D20" s="136"/>
      <c r="E20" s="136"/>
      <c r="F20" s="136"/>
      <c r="G20" s="136"/>
      <c r="H20" s="136"/>
      <c r="I20" s="136"/>
      <c r="J20" s="136"/>
      <c r="K20" s="136"/>
      <c r="L20" s="136"/>
      <c r="M20" s="136"/>
      <c r="N20" s="136"/>
      <c r="O20" s="136"/>
      <c r="P20" s="136"/>
      <c r="Q20" s="136"/>
      <c r="R20" s="136"/>
      <c r="S20" s="136"/>
      <c r="T20" s="136"/>
      <c r="U20" s="821"/>
      <c r="V20" s="821"/>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4.1" customHeight="1">
      <c r="A21" s="825" t="s">
        <v>115</v>
      </c>
      <c r="B21" s="22" t="s">
        <v>116</v>
      </c>
      <c r="C21" s="40"/>
      <c r="D21" s="41"/>
      <c r="E21" s="40">
        <v>2</v>
      </c>
      <c r="F21" s="41">
        <v>1</v>
      </c>
      <c r="G21" s="40">
        <v>1</v>
      </c>
      <c r="H21" s="41">
        <v>1</v>
      </c>
      <c r="I21" s="40">
        <v>1</v>
      </c>
      <c r="J21" s="41"/>
      <c r="K21" s="40">
        <v>4</v>
      </c>
      <c r="L21" s="41">
        <v>12</v>
      </c>
      <c r="M21" s="40">
        <v>15</v>
      </c>
      <c r="N21" s="41">
        <v>27</v>
      </c>
      <c r="O21" s="40"/>
      <c r="P21" s="41"/>
      <c r="Q21" s="40"/>
      <c r="R21" s="46"/>
      <c r="S21" s="40">
        <v>2</v>
      </c>
      <c r="T21" s="46">
        <v>1</v>
      </c>
      <c r="U21" s="47">
        <f t="shared" ref="U21:V26" si="0">C21+E21+G21+I21+K21+M21+O21+Q21+S21</f>
        <v>25</v>
      </c>
      <c r="V21" s="47">
        <f t="shared" si="0"/>
        <v>42</v>
      </c>
      <c r="W21" s="49">
        <f t="shared" ref="W21:W26" si="1">+V21+U21</f>
        <v>67</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4.1" customHeight="1">
      <c r="A22" s="825" t="s">
        <v>117</v>
      </c>
      <c r="B22" s="22" t="s">
        <v>118</v>
      </c>
      <c r="C22" s="40"/>
      <c r="D22" s="41"/>
      <c r="E22" s="40"/>
      <c r="F22" s="41">
        <v>1</v>
      </c>
      <c r="G22" s="40"/>
      <c r="H22" s="41"/>
      <c r="I22" s="40"/>
      <c r="J22" s="41"/>
      <c r="K22" s="40">
        <v>1</v>
      </c>
      <c r="L22" s="41">
        <v>8</v>
      </c>
      <c r="M22" s="40">
        <v>18</v>
      </c>
      <c r="N22" s="41">
        <v>21</v>
      </c>
      <c r="O22" s="40"/>
      <c r="P22" s="41"/>
      <c r="Q22" s="40"/>
      <c r="R22" s="46"/>
      <c r="S22" s="40">
        <v>4</v>
      </c>
      <c r="T22" s="46">
        <v>2</v>
      </c>
      <c r="U22" s="47">
        <f t="shared" si="0"/>
        <v>23</v>
      </c>
      <c r="V22" s="47">
        <f t="shared" si="0"/>
        <v>32</v>
      </c>
      <c r="W22" s="44">
        <f t="shared" si="1"/>
        <v>55</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4.1" customHeight="1">
      <c r="A23" s="825" t="s">
        <v>119</v>
      </c>
      <c r="B23" s="22" t="s">
        <v>120</v>
      </c>
      <c r="C23" s="40"/>
      <c r="D23" s="41"/>
      <c r="E23" s="40">
        <v>1</v>
      </c>
      <c r="F23" s="41">
        <v>5</v>
      </c>
      <c r="G23" s="40"/>
      <c r="H23" s="41"/>
      <c r="I23" s="40"/>
      <c r="J23" s="41">
        <v>2</v>
      </c>
      <c r="K23" s="40">
        <v>1</v>
      </c>
      <c r="L23" s="41">
        <v>6</v>
      </c>
      <c r="M23" s="40">
        <v>15</v>
      </c>
      <c r="N23" s="41">
        <v>38</v>
      </c>
      <c r="O23" s="40"/>
      <c r="P23" s="41">
        <v>1</v>
      </c>
      <c r="Q23" s="40"/>
      <c r="R23" s="46"/>
      <c r="S23" s="40"/>
      <c r="T23" s="46">
        <v>1</v>
      </c>
      <c r="U23" s="47">
        <f t="shared" si="0"/>
        <v>17</v>
      </c>
      <c r="V23" s="47">
        <f t="shared" si="0"/>
        <v>53</v>
      </c>
      <c r="W23" s="44">
        <f t="shared" si="1"/>
        <v>70</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4.1" customHeight="1">
      <c r="A24" s="825" t="s">
        <v>121</v>
      </c>
      <c r="B24" s="22" t="s">
        <v>122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7" t="s">
        <v>123</v>
      </c>
      <c r="B25" s="22" t="s">
        <v>124</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40.15" thickBot="1">
      <c r="A26" s="550" t="s">
        <v>125</v>
      </c>
      <c r="B26" s="551" t="s">
        <v>126</v>
      </c>
      <c r="C26" s="552">
        <f t="shared" ref="C26:P26" si="2">SUM(C18:C25)</f>
        <v>0</v>
      </c>
      <c r="D26" s="552">
        <f t="shared" si="2"/>
        <v>0</v>
      </c>
      <c r="E26" s="552">
        <f t="shared" si="2"/>
        <v>4</v>
      </c>
      <c r="F26" s="552">
        <f t="shared" si="2"/>
        <v>7</v>
      </c>
      <c r="G26" s="552">
        <f t="shared" si="2"/>
        <v>1</v>
      </c>
      <c r="H26" s="552">
        <f t="shared" si="2"/>
        <v>1</v>
      </c>
      <c r="I26" s="552">
        <f t="shared" si="2"/>
        <v>2</v>
      </c>
      <c r="J26" s="552">
        <f t="shared" si="2"/>
        <v>5</v>
      </c>
      <c r="K26" s="552">
        <f t="shared" si="2"/>
        <v>10</v>
      </c>
      <c r="L26" s="552">
        <f t="shared" si="2"/>
        <v>35</v>
      </c>
      <c r="M26" s="552">
        <f t="shared" si="2"/>
        <v>64</v>
      </c>
      <c r="N26" s="552">
        <f t="shared" si="2"/>
        <v>126</v>
      </c>
      <c r="O26" s="552">
        <f t="shared" si="2"/>
        <v>1</v>
      </c>
      <c r="P26" s="552">
        <f t="shared" si="2"/>
        <v>2</v>
      </c>
      <c r="Q26" s="552">
        <f>SUM(Q18:Q25)</f>
        <v>0</v>
      </c>
      <c r="R26" s="552">
        <f>SUM(R18:R25)</f>
        <v>0</v>
      </c>
      <c r="S26" s="552">
        <f>SUM(S18:S25)</f>
        <v>7</v>
      </c>
      <c r="T26" s="552">
        <f>SUM(T18:T25)</f>
        <v>7</v>
      </c>
      <c r="U26" s="552">
        <f t="shared" si="0"/>
        <v>89</v>
      </c>
      <c r="V26" s="552">
        <f t="shared" si="0"/>
        <v>183</v>
      </c>
      <c r="W26" s="553">
        <f t="shared" si="1"/>
        <v>272</v>
      </c>
      <c r="X26" s="608"/>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96" ht="18" hidden="1" customHeight="1" thickTop="1">
      <c r="A27" s="548" t="s">
        <v>127</v>
      </c>
      <c r="B27" s="239"/>
      <c r="C27" s="549"/>
      <c r="D27" s="549"/>
      <c r="E27" s="549"/>
      <c r="F27" s="549"/>
      <c r="G27" s="549"/>
      <c r="H27" s="549"/>
      <c r="I27" s="549"/>
      <c r="J27" s="549"/>
      <c r="K27" s="549"/>
      <c r="L27" s="549"/>
      <c r="M27" s="549"/>
      <c r="N27" s="549"/>
      <c r="O27" s="549"/>
      <c r="P27" s="549"/>
      <c r="Q27" s="549"/>
      <c r="R27" s="549"/>
      <c r="S27" s="549"/>
      <c r="T27" s="549"/>
      <c r="U27" s="371"/>
      <c r="V27" s="371"/>
      <c r="W27" s="485"/>
      <c r="X27" s="609"/>
    </row>
    <row r="28" spans="1:96" s="17" customFormat="1" ht="13.15" hidden="1">
      <c r="A28" s="38" t="s">
        <v>128</v>
      </c>
      <c r="B28" s="34" t="s">
        <v>129</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9" hidden="1" thickBot="1">
      <c r="A29" s="604" t="s">
        <v>130</v>
      </c>
      <c r="B29" s="605" t="s">
        <v>131</v>
      </c>
      <c r="C29" s="606"/>
      <c r="D29" s="607"/>
      <c r="E29" s="606"/>
      <c r="F29" s="607"/>
      <c r="G29" s="606"/>
      <c r="H29" s="607"/>
      <c r="I29" s="606"/>
      <c r="J29" s="607"/>
      <c r="K29" s="606"/>
      <c r="L29" s="607"/>
      <c r="M29" s="606"/>
      <c r="N29" s="607"/>
      <c r="O29" s="606"/>
      <c r="P29" s="607"/>
      <c r="Q29" s="607"/>
      <c r="R29" s="607"/>
      <c r="S29" s="607"/>
      <c r="T29" s="607"/>
      <c r="U29" s="299">
        <f>C29+E29+G29+I29+K29+M29+O29</f>
        <v>0</v>
      </c>
      <c r="V29" s="299">
        <f>D29+F29+H29+J29+L29+N29+P29</f>
        <v>0</v>
      </c>
      <c r="W29" s="297">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96" ht="18" thickTop="1">
      <c r="A30" s="548" t="s">
        <v>132</v>
      </c>
      <c r="B30" s="239"/>
      <c r="C30" s="549"/>
      <c r="D30" s="549"/>
      <c r="E30" s="549"/>
      <c r="F30" s="549"/>
      <c r="G30" s="549"/>
      <c r="H30" s="549"/>
      <c r="I30" s="549"/>
      <c r="J30" s="549"/>
      <c r="K30" s="549"/>
      <c r="L30" s="549"/>
      <c r="M30" s="549"/>
      <c r="N30" s="549"/>
      <c r="O30" s="549"/>
      <c r="P30" s="549"/>
      <c r="Q30" s="549"/>
      <c r="R30" s="549"/>
      <c r="S30" s="549"/>
      <c r="T30" s="549"/>
      <c r="U30" s="371"/>
      <c r="V30" s="371"/>
      <c r="W30" s="485"/>
    </row>
    <row r="31" spans="1:96" ht="13.15">
      <c r="A31" s="37" t="s">
        <v>133</v>
      </c>
      <c r="B31" s="242" t="s">
        <v>61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3.15">
      <c r="A32" s="538" t="s">
        <v>134</v>
      </c>
      <c r="B32" s="22" t="s">
        <v>135</v>
      </c>
      <c r="C32" s="40"/>
      <c r="D32" s="41"/>
      <c r="E32" s="40"/>
      <c r="F32" s="41"/>
      <c r="G32" s="40"/>
      <c r="H32" s="41"/>
      <c r="I32" s="40"/>
      <c r="J32" s="41">
        <v>1</v>
      </c>
      <c r="K32" s="40"/>
      <c r="L32" s="41">
        <v>1</v>
      </c>
      <c r="M32" s="40"/>
      <c r="N32" s="41">
        <v>2</v>
      </c>
      <c r="O32" s="40"/>
      <c r="P32" s="41"/>
      <c r="Q32" s="40"/>
      <c r="R32" s="46"/>
      <c r="S32" s="40"/>
      <c r="T32" s="46"/>
      <c r="U32" s="47">
        <f t="shared" ref="U32:V35" si="3">C32+E32+G32+I32+K32+M32+O32+Q32+S32</f>
        <v>0</v>
      </c>
      <c r="V32" s="47">
        <f t="shared" si="3"/>
        <v>4</v>
      </c>
      <c r="W32" s="44">
        <f>+V32+U32</f>
        <v>4</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3.15">
      <c r="A33" s="538" t="s">
        <v>136</v>
      </c>
      <c r="B33" s="22">
        <v>12</v>
      </c>
      <c r="C33" s="40"/>
      <c r="D33" s="41"/>
      <c r="E33" s="40"/>
      <c r="F33" s="41">
        <v>1</v>
      </c>
      <c r="G33" s="40"/>
      <c r="H33" s="41"/>
      <c r="I33" s="40"/>
      <c r="J33" s="41"/>
      <c r="K33" s="40">
        <v>1</v>
      </c>
      <c r="L33" s="41">
        <v>6</v>
      </c>
      <c r="M33" s="40">
        <v>1</v>
      </c>
      <c r="N33" s="41">
        <v>12</v>
      </c>
      <c r="O33" s="40"/>
      <c r="P33" s="41"/>
      <c r="Q33" s="40"/>
      <c r="R33" s="46"/>
      <c r="S33" s="40"/>
      <c r="T33" s="46"/>
      <c r="U33" s="47">
        <f t="shared" si="3"/>
        <v>2</v>
      </c>
      <c r="V33" s="47">
        <f t="shared" si="3"/>
        <v>19</v>
      </c>
      <c r="W33" s="44">
        <f>+V33+U33</f>
        <v>21</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39.6">
      <c r="A34" s="547" t="s">
        <v>137</v>
      </c>
      <c r="B34" s="22" t="s">
        <v>138</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6" t="s">
        <v>139</v>
      </c>
      <c r="B35" s="24" t="s">
        <v>140</v>
      </c>
      <c r="C35" s="47">
        <f>SUM(C32:C34)</f>
        <v>0</v>
      </c>
      <c r="D35" s="47">
        <f t="shared" ref="D35:P35" si="4">SUM(D32:D34)</f>
        <v>0</v>
      </c>
      <c r="E35" s="47">
        <f t="shared" si="4"/>
        <v>0</v>
      </c>
      <c r="F35" s="47">
        <f t="shared" si="4"/>
        <v>1</v>
      </c>
      <c r="G35" s="47">
        <f t="shared" si="4"/>
        <v>0</v>
      </c>
      <c r="H35" s="47">
        <f t="shared" si="4"/>
        <v>0</v>
      </c>
      <c r="I35" s="47">
        <f t="shared" si="4"/>
        <v>0</v>
      </c>
      <c r="J35" s="47">
        <f t="shared" si="4"/>
        <v>1</v>
      </c>
      <c r="K35" s="47">
        <f t="shared" si="4"/>
        <v>1</v>
      </c>
      <c r="L35" s="47">
        <f t="shared" si="4"/>
        <v>7</v>
      </c>
      <c r="M35" s="47">
        <f t="shared" si="4"/>
        <v>1</v>
      </c>
      <c r="N35" s="47">
        <f t="shared" si="4"/>
        <v>14</v>
      </c>
      <c r="O35" s="47">
        <f t="shared" si="4"/>
        <v>0</v>
      </c>
      <c r="P35" s="47">
        <f t="shared" si="4"/>
        <v>0</v>
      </c>
      <c r="Q35" s="47">
        <f>SUM(Q32:Q34)</f>
        <v>0</v>
      </c>
      <c r="R35" s="47">
        <f>SUM(R32:R34)</f>
        <v>0</v>
      </c>
      <c r="S35" s="47">
        <f>SUM(S32:S34)</f>
        <v>0</v>
      </c>
      <c r="T35" s="47">
        <f>SUM(T32:T34)</f>
        <v>0</v>
      </c>
      <c r="U35" s="47">
        <f t="shared" si="3"/>
        <v>2</v>
      </c>
      <c r="V35" s="47">
        <f t="shared" si="3"/>
        <v>23</v>
      </c>
      <c r="W35" s="49">
        <f>U35+V35</f>
        <v>25</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spans="1:96" ht="25.5" customHeight="1"/>
    <row r="37" spans="1:96" ht="15.6">
      <c r="A37" s="483" t="str">
        <f>+A42&amp;" PART A (Continued)"</f>
        <v>130000 PART A (Continued)</v>
      </c>
      <c r="B37" s="26" t="str">
        <f>A1</f>
        <v>FALL ENROLLMENT 2021</v>
      </c>
      <c r="C37" s="27"/>
      <c r="D37" s="27"/>
      <c r="E37" s="27"/>
      <c r="F37" s="27"/>
      <c r="G37" s="27"/>
      <c r="H37" s="27"/>
      <c r="I37" s="27"/>
      <c r="J37" s="27"/>
      <c r="K37" s="27"/>
      <c r="L37" s="27"/>
      <c r="M37" s="27"/>
      <c r="N37" s="27"/>
      <c r="O37" s="27"/>
      <c r="P37" s="27"/>
      <c r="Q37" s="27"/>
      <c r="R37" s="27"/>
      <c r="S37" s="27"/>
      <c r="T37" s="27"/>
      <c r="U37" s="13" t="s">
        <v>61</v>
      </c>
    </row>
    <row r="38" spans="1:96" ht="15.6">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3.15">
      <c r="A39" s="28" t="s">
        <v>61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96">
      <c r="A40" s="984" t="str">
        <f>+A10</f>
        <v>EDUCATION</v>
      </c>
      <c r="B40" s="36"/>
      <c r="C40" s="991" t="s">
        <v>54</v>
      </c>
      <c r="D40" s="992"/>
      <c r="E40" s="991" t="s">
        <v>55</v>
      </c>
      <c r="F40" s="992"/>
      <c r="G40" s="991" t="s">
        <v>56</v>
      </c>
      <c r="H40" s="992"/>
      <c r="I40" s="991"/>
      <c r="J40" s="992"/>
      <c r="K40" s="991" t="s">
        <v>57</v>
      </c>
      <c r="L40" s="992"/>
      <c r="M40" s="991"/>
      <c r="N40" s="992"/>
      <c r="O40" s="991" t="s">
        <v>58</v>
      </c>
      <c r="P40" s="992"/>
      <c r="Q40" s="991" t="s">
        <v>59</v>
      </c>
      <c r="R40" s="992"/>
      <c r="S40" s="991" t="s">
        <v>60</v>
      </c>
      <c r="T40" s="992"/>
      <c r="U40" s="59" t="s">
        <v>61</v>
      </c>
      <c r="V40" s="60"/>
      <c r="W40" s="61"/>
    </row>
    <row r="41" spans="1:96" ht="12.75" customHeight="1">
      <c r="A41" s="985"/>
      <c r="B41" s="20"/>
      <c r="C41" s="993" t="s">
        <v>62</v>
      </c>
      <c r="D41" s="994"/>
      <c r="E41" s="993" t="s">
        <v>63</v>
      </c>
      <c r="F41" s="994"/>
      <c r="G41" s="993" t="s">
        <v>64</v>
      </c>
      <c r="H41" s="994"/>
      <c r="I41" s="993" t="s">
        <v>65</v>
      </c>
      <c r="J41" s="994"/>
      <c r="K41" s="993" t="s">
        <v>66</v>
      </c>
      <c r="L41" s="994"/>
      <c r="M41" s="993" t="s">
        <v>67</v>
      </c>
      <c r="N41" s="994"/>
      <c r="O41" s="993" t="s">
        <v>68</v>
      </c>
      <c r="P41" s="994"/>
      <c r="Q41" s="993" t="s">
        <v>69</v>
      </c>
      <c r="R41" s="994"/>
      <c r="S41" s="993" t="s">
        <v>70</v>
      </c>
      <c r="T41" s="994"/>
      <c r="U41" s="62" t="s">
        <v>71</v>
      </c>
      <c r="V41" s="63"/>
      <c r="W41" s="64"/>
    </row>
    <row r="42" spans="1:96" s="17" customFormat="1">
      <c r="A42" s="986" t="str">
        <f>+A12</f>
        <v>130000</v>
      </c>
      <c r="B42" s="20"/>
      <c r="C42" s="995" t="s">
        <v>73</v>
      </c>
      <c r="D42" s="996"/>
      <c r="E42" s="995" t="s">
        <v>56</v>
      </c>
      <c r="F42" s="996"/>
      <c r="G42" s="995" t="s">
        <v>74</v>
      </c>
      <c r="H42" s="996"/>
      <c r="I42" s="995"/>
      <c r="J42" s="996"/>
      <c r="K42" s="995" t="s">
        <v>75</v>
      </c>
      <c r="L42" s="996"/>
      <c r="M42" s="995"/>
      <c r="N42" s="996"/>
      <c r="O42" s="995" t="s">
        <v>76</v>
      </c>
      <c r="P42" s="996"/>
      <c r="Q42" s="995" t="s">
        <v>77</v>
      </c>
      <c r="R42" s="996"/>
      <c r="S42" s="995" t="s">
        <v>78</v>
      </c>
      <c r="T42" s="996"/>
      <c r="U42" s="65" t="s">
        <v>79</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96" ht="15" customHeight="1">
      <c r="A43" s="1153"/>
      <c r="B43" s="20" t="s">
        <v>80</v>
      </c>
      <c r="C43" s="68" t="s">
        <v>81</v>
      </c>
      <c r="D43" s="23" t="s">
        <v>82</v>
      </c>
      <c r="E43" s="68" t="s">
        <v>81</v>
      </c>
      <c r="F43" s="23" t="s">
        <v>82</v>
      </c>
      <c r="G43" s="68" t="s">
        <v>81</v>
      </c>
      <c r="H43" s="23" t="s">
        <v>82</v>
      </c>
      <c r="I43" s="68" t="s">
        <v>81</v>
      </c>
      <c r="J43" s="23" t="s">
        <v>82</v>
      </c>
      <c r="K43" s="68" t="s">
        <v>81</v>
      </c>
      <c r="L43" s="23" t="s">
        <v>82</v>
      </c>
      <c r="M43" s="68" t="s">
        <v>81</v>
      </c>
      <c r="N43" s="23" t="s">
        <v>82</v>
      </c>
      <c r="O43" s="68" t="s">
        <v>81</v>
      </c>
      <c r="P43" s="23" t="s">
        <v>82</v>
      </c>
      <c r="Q43" s="68" t="s">
        <v>81</v>
      </c>
      <c r="R43" s="23" t="s">
        <v>82</v>
      </c>
      <c r="S43" s="68" t="s">
        <v>81</v>
      </c>
      <c r="T43" s="23" t="s">
        <v>82</v>
      </c>
      <c r="U43" s="69" t="s">
        <v>81</v>
      </c>
      <c r="V43" s="21" t="s">
        <v>82</v>
      </c>
      <c r="W43" s="21" t="s">
        <v>83</v>
      </c>
    </row>
    <row r="44" spans="1:96" s="17" customFormat="1" ht="13.15">
      <c r="A44" s="602" t="s">
        <v>84</v>
      </c>
      <c r="B44" s="19" t="s">
        <v>85</v>
      </c>
      <c r="C44" s="70" t="s">
        <v>86</v>
      </c>
      <c r="D44" s="70" t="s">
        <v>87</v>
      </c>
      <c r="E44" s="70" t="s">
        <v>88</v>
      </c>
      <c r="F44" s="70" t="s">
        <v>89</v>
      </c>
      <c r="G44" s="70" t="s">
        <v>90</v>
      </c>
      <c r="H44" s="70" t="s">
        <v>91</v>
      </c>
      <c r="I44" s="70" t="s">
        <v>92</v>
      </c>
      <c r="J44" s="70" t="s">
        <v>93</v>
      </c>
      <c r="K44" s="70" t="s">
        <v>94</v>
      </c>
      <c r="L44" s="70" t="s">
        <v>95</v>
      </c>
      <c r="M44" s="70" t="s">
        <v>96</v>
      </c>
      <c r="N44" s="70" t="s">
        <v>97</v>
      </c>
      <c r="O44" s="70" t="s">
        <v>98</v>
      </c>
      <c r="P44" s="70" t="s">
        <v>99</v>
      </c>
      <c r="Q44" s="70" t="s">
        <v>100</v>
      </c>
      <c r="R44" s="70" t="s">
        <v>101</v>
      </c>
      <c r="S44" s="70" t="s">
        <v>102</v>
      </c>
      <c r="T44" s="70" t="s">
        <v>103</v>
      </c>
      <c r="U44" s="71" t="s">
        <v>104</v>
      </c>
      <c r="V44" s="71" t="s">
        <v>105</v>
      </c>
      <c r="W44" s="71" t="s">
        <v>106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9">
      <c r="A45" s="987" t="s">
        <v>141</v>
      </c>
      <c r="B45" s="988"/>
      <c r="C45" s="988"/>
      <c r="D45" s="988"/>
      <c r="E45" s="988"/>
      <c r="F45" s="988"/>
      <c r="G45" s="988"/>
      <c r="H45" s="988"/>
      <c r="I45" s="988"/>
      <c r="J45" s="988"/>
      <c r="K45" s="988"/>
      <c r="L45" s="988"/>
      <c r="M45" s="988"/>
      <c r="N45" s="988"/>
      <c r="O45" s="988"/>
      <c r="P45" s="988"/>
      <c r="Q45" s="988"/>
      <c r="R45" s="988"/>
      <c r="S45" s="988"/>
      <c r="T45" s="988"/>
      <c r="U45" s="988"/>
      <c r="V45" s="988"/>
      <c r="W45" s="98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96" ht="17.45">
      <c r="A46" s="548" t="s">
        <v>108</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96" ht="13.15">
      <c r="A47" s="37" t="s">
        <v>109</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3.15">
      <c r="A48" s="823" t="s">
        <v>110</v>
      </c>
      <c r="B48" s="34">
        <v>15</v>
      </c>
      <c r="C48" s="40"/>
      <c r="D48" s="41"/>
      <c r="E48" s="40"/>
      <c r="F48" s="41"/>
      <c r="G48" s="40"/>
      <c r="H48" s="41"/>
      <c r="I48" s="40"/>
      <c r="J48" s="41"/>
      <c r="K48" s="40"/>
      <c r="L48" s="41">
        <v>1</v>
      </c>
      <c r="M48" s="40"/>
      <c r="N48" s="41"/>
      <c r="O48" s="40"/>
      <c r="P48" s="41"/>
      <c r="Q48" s="40"/>
      <c r="R48" s="46"/>
      <c r="S48" s="40"/>
      <c r="T48" s="46">
        <v>1</v>
      </c>
      <c r="U48" s="47">
        <f>C48+E48+G48+I48+K48+M48+O48+Q48+S48</f>
        <v>0</v>
      </c>
      <c r="V48" s="47">
        <f>D48+F48+H48+J48+L48+N48+P48+R48+T48</f>
        <v>2</v>
      </c>
      <c r="W48" s="44">
        <f>+V48+U48</f>
        <v>2</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3.15">
      <c r="A49" s="824" t="s">
        <v>112</v>
      </c>
      <c r="B49" s="22" t="s">
        <v>142</v>
      </c>
      <c r="C49" s="40"/>
      <c r="D49" s="41"/>
      <c r="E49" s="40"/>
      <c r="F49" s="41"/>
      <c r="G49" s="40"/>
      <c r="H49" s="41"/>
      <c r="I49" s="40"/>
      <c r="J49" s="41"/>
      <c r="K49" s="40"/>
      <c r="L49" s="41"/>
      <c r="M49" s="40"/>
      <c r="N49" s="41"/>
      <c r="O49" s="40"/>
      <c r="P49" s="41"/>
      <c r="Q49" s="40"/>
      <c r="R49" s="46"/>
      <c r="S49" s="40"/>
      <c r="T49" s="46"/>
      <c r="U49" s="47">
        <f>C49+E49+G49+I49+K49+M49+O49+Q49+S49</f>
        <v>0</v>
      </c>
      <c r="V49" s="47">
        <f>D49+F49+H49+J49+L49+N49+P49+R49+T49</f>
        <v>0</v>
      </c>
      <c r="W49" s="44">
        <f>+V49+U49</f>
        <v>0</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9">
      <c r="A50" s="829" t="s">
        <v>143</v>
      </c>
      <c r="B50" s="822"/>
      <c r="C50" s="826"/>
      <c r="D50" s="826"/>
      <c r="E50" s="826"/>
      <c r="F50" s="826"/>
      <c r="G50" s="826"/>
      <c r="H50" s="826"/>
      <c r="I50" s="826"/>
      <c r="J50" s="826"/>
      <c r="K50" s="826"/>
      <c r="L50" s="826"/>
      <c r="M50" s="826"/>
      <c r="N50" s="826"/>
      <c r="O50" s="826"/>
      <c r="P50" s="826"/>
      <c r="Q50" s="826"/>
      <c r="R50" s="826"/>
      <c r="S50" s="826"/>
      <c r="T50" s="826"/>
      <c r="U50" s="821"/>
      <c r="V50" s="821"/>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3.15">
      <c r="A51" s="825" t="s">
        <v>115</v>
      </c>
      <c r="B51" s="22" t="s">
        <v>144</v>
      </c>
      <c r="C51" s="40"/>
      <c r="D51" s="41">
        <v>1</v>
      </c>
      <c r="E51" s="40"/>
      <c r="F51" s="41"/>
      <c r="G51" s="40"/>
      <c r="H51" s="41"/>
      <c r="I51" s="40"/>
      <c r="J51" s="41"/>
      <c r="K51" s="40"/>
      <c r="L51" s="41"/>
      <c r="M51" s="40"/>
      <c r="N51" s="41">
        <v>3</v>
      </c>
      <c r="O51" s="40"/>
      <c r="P51" s="41"/>
      <c r="Q51" s="40"/>
      <c r="R51" s="46"/>
      <c r="S51" s="40">
        <v>1</v>
      </c>
      <c r="T51" s="46"/>
      <c r="U51" s="47">
        <f t="shared" ref="U51:V56" si="5">C51+E51+G51+I51+K51+M51+O51+Q51+S51</f>
        <v>1</v>
      </c>
      <c r="V51" s="47">
        <f t="shared" si="5"/>
        <v>4</v>
      </c>
      <c r="W51" s="44">
        <f t="shared" ref="W51:W56" si="6">+V51+U51</f>
        <v>5</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3.15">
      <c r="A52" s="825" t="s">
        <v>117</v>
      </c>
      <c r="B52" s="22" t="s">
        <v>145</v>
      </c>
      <c r="C52" s="40"/>
      <c r="D52" s="41"/>
      <c r="E52" s="40"/>
      <c r="F52" s="41"/>
      <c r="G52" s="40"/>
      <c r="H52" s="41"/>
      <c r="I52" s="40"/>
      <c r="J52" s="41"/>
      <c r="K52" s="40"/>
      <c r="L52" s="41"/>
      <c r="M52" s="40"/>
      <c r="N52" s="41">
        <v>1</v>
      </c>
      <c r="O52" s="40"/>
      <c r="P52" s="41"/>
      <c r="Q52" s="40"/>
      <c r="R52" s="46"/>
      <c r="S52" s="40"/>
      <c r="T52" s="46"/>
      <c r="U52" s="47">
        <f t="shared" si="5"/>
        <v>0</v>
      </c>
      <c r="V52" s="47">
        <f t="shared" si="5"/>
        <v>1</v>
      </c>
      <c r="W52" s="44">
        <f t="shared" si="6"/>
        <v>1</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3.15">
      <c r="A53" s="825" t="s">
        <v>119</v>
      </c>
      <c r="B53" s="22" t="s">
        <v>146</v>
      </c>
      <c r="C53" s="40"/>
      <c r="D53" s="41"/>
      <c r="E53" s="40"/>
      <c r="F53" s="41"/>
      <c r="G53" s="40"/>
      <c r="H53" s="41"/>
      <c r="I53" s="40"/>
      <c r="J53" s="41"/>
      <c r="K53" s="40"/>
      <c r="L53" s="41"/>
      <c r="M53" s="40">
        <v>1</v>
      </c>
      <c r="N53" s="41">
        <v>1</v>
      </c>
      <c r="O53" s="40"/>
      <c r="P53" s="41"/>
      <c r="Q53" s="40"/>
      <c r="R53" s="46"/>
      <c r="S53" s="40">
        <v>1</v>
      </c>
      <c r="T53" s="46">
        <v>1</v>
      </c>
      <c r="U53" s="47">
        <f t="shared" si="5"/>
        <v>2</v>
      </c>
      <c r="V53" s="47">
        <f t="shared" si="5"/>
        <v>2</v>
      </c>
      <c r="W53" s="44">
        <f t="shared" si="6"/>
        <v>4</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3.15">
      <c r="A54" s="825" t="s">
        <v>121</v>
      </c>
      <c r="B54" s="22" t="s">
        <v>147</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39.6">
      <c r="A55" s="547" t="s">
        <v>123</v>
      </c>
      <c r="B55" s="22" t="s">
        <v>148</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40.15" thickBot="1">
      <c r="A56" s="550" t="s">
        <v>149</v>
      </c>
      <c r="B56" s="551" t="s">
        <v>150</v>
      </c>
      <c r="C56" s="560">
        <f t="shared" ref="C56:P56" si="7">SUM(C48:C55)</f>
        <v>0</v>
      </c>
      <c r="D56" s="560">
        <f t="shared" si="7"/>
        <v>1</v>
      </c>
      <c r="E56" s="560">
        <f t="shared" si="7"/>
        <v>0</v>
      </c>
      <c r="F56" s="560">
        <f t="shared" si="7"/>
        <v>0</v>
      </c>
      <c r="G56" s="560">
        <f t="shared" si="7"/>
        <v>0</v>
      </c>
      <c r="H56" s="560">
        <f t="shared" si="7"/>
        <v>0</v>
      </c>
      <c r="I56" s="560">
        <f t="shared" si="7"/>
        <v>0</v>
      </c>
      <c r="J56" s="560">
        <f t="shared" si="7"/>
        <v>0</v>
      </c>
      <c r="K56" s="560">
        <f t="shared" si="7"/>
        <v>0</v>
      </c>
      <c r="L56" s="560">
        <f t="shared" si="7"/>
        <v>1</v>
      </c>
      <c r="M56" s="560">
        <f t="shared" si="7"/>
        <v>1</v>
      </c>
      <c r="N56" s="560">
        <f t="shared" si="7"/>
        <v>5</v>
      </c>
      <c r="O56" s="560">
        <f t="shared" si="7"/>
        <v>0</v>
      </c>
      <c r="P56" s="560">
        <f t="shared" si="7"/>
        <v>0</v>
      </c>
      <c r="Q56" s="560">
        <f>SUM(Q48:Q55)</f>
        <v>0</v>
      </c>
      <c r="R56" s="560">
        <f>SUM(R48:R55)</f>
        <v>0</v>
      </c>
      <c r="S56" s="560">
        <f>SUM(S48:S55)</f>
        <v>2</v>
      </c>
      <c r="T56" s="560">
        <f>SUM(T48:T55)</f>
        <v>2</v>
      </c>
      <c r="U56" s="552">
        <f t="shared" si="5"/>
        <v>3</v>
      </c>
      <c r="V56" s="552">
        <f t="shared" si="5"/>
        <v>9</v>
      </c>
      <c r="W56" s="553">
        <f t="shared" si="6"/>
        <v>12</v>
      </c>
      <c r="X56" s="608"/>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96" ht="21.75" hidden="1" customHeight="1" thickTop="1">
      <c r="A57" s="548" t="s">
        <v>127</v>
      </c>
      <c r="B57" s="239"/>
      <c r="C57" s="549"/>
      <c r="D57" s="549"/>
      <c r="E57" s="549"/>
      <c r="F57" s="549"/>
      <c r="G57" s="549"/>
      <c r="H57" s="549"/>
      <c r="I57" s="549"/>
      <c r="J57" s="549"/>
      <c r="K57" s="549"/>
      <c r="L57" s="549"/>
      <c r="M57" s="549"/>
      <c r="N57" s="549"/>
      <c r="O57" s="549"/>
      <c r="P57" s="549"/>
      <c r="Q57" s="549"/>
      <c r="R57" s="549"/>
      <c r="S57" s="549"/>
      <c r="T57" s="549"/>
      <c r="U57" s="371"/>
      <c r="V57" s="371"/>
      <c r="W57" s="484"/>
      <c r="X57" s="609"/>
    </row>
    <row r="58" spans="1:96" s="17" customFormat="1" ht="13.15" hidden="1">
      <c r="A58" s="38" t="s">
        <v>128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9" hidden="1" thickBot="1">
      <c r="A59" s="604" t="s">
        <v>130</v>
      </c>
      <c r="B59" s="605">
        <v>24</v>
      </c>
      <c r="C59" s="610"/>
      <c r="D59" s="611"/>
      <c r="E59" s="610"/>
      <c r="F59" s="611"/>
      <c r="G59" s="610"/>
      <c r="H59" s="611"/>
      <c r="I59" s="610"/>
      <c r="J59" s="611"/>
      <c r="K59" s="610"/>
      <c r="L59" s="611"/>
      <c r="M59" s="610"/>
      <c r="N59" s="611"/>
      <c r="O59" s="610"/>
      <c r="P59" s="611"/>
      <c r="Q59" s="611"/>
      <c r="R59" s="611"/>
      <c r="S59" s="611"/>
      <c r="T59" s="611"/>
      <c r="U59" s="297">
        <f>C59+E59+G59+I59+K59+M59+O59</f>
        <v>0</v>
      </c>
      <c r="V59" s="297">
        <f>D59+F59+H59+J59+L59+N59+P59</f>
        <v>0</v>
      </c>
      <c r="W59" s="297">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96" ht="18" thickTop="1">
      <c r="A60" s="548" t="s">
        <v>132</v>
      </c>
      <c r="B60" s="239"/>
      <c r="C60" s="549"/>
      <c r="D60" s="549"/>
      <c r="E60" s="549"/>
      <c r="F60" s="549"/>
      <c r="G60" s="549"/>
      <c r="H60" s="549"/>
      <c r="I60" s="549"/>
      <c r="J60" s="549"/>
      <c r="K60" s="549"/>
      <c r="L60" s="549"/>
      <c r="M60" s="549"/>
      <c r="N60" s="549"/>
      <c r="O60" s="549"/>
      <c r="P60" s="549"/>
      <c r="Q60" s="549"/>
      <c r="R60" s="549"/>
      <c r="S60" s="549"/>
      <c r="T60" s="549"/>
      <c r="U60" s="371"/>
      <c r="V60" s="371"/>
      <c r="W60" s="485"/>
    </row>
    <row r="61" spans="1:96" ht="13.15">
      <c r="A61" s="37" t="s">
        <v>133</v>
      </c>
      <c r="B61" s="242" t="s">
        <v>61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3.15">
      <c r="A62" s="538" t="s">
        <v>134</v>
      </c>
      <c r="B62" s="22" t="s">
        <v>151</v>
      </c>
      <c r="C62" s="40"/>
      <c r="D62" s="41"/>
      <c r="E62" s="40"/>
      <c r="F62" s="41"/>
      <c r="G62" s="40"/>
      <c r="H62" s="41"/>
      <c r="I62" s="40"/>
      <c r="J62" s="41"/>
      <c r="K62" s="40">
        <v>1</v>
      </c>
      <c r="L62" s="41"/>
      <c r="M62" s="40">
        <v>4</v>
      </c>
      <c r="N62" s="41">
        <v>16</v>
      </c>
      <c r="O62" s="40">
        <v>1</v>
      </c>
      <c r="P62" s="41">
        <v>4</v>
      </c>
      <c r="Q62" s="40"/>
      <c r="R62" s="46"/>
      <c r="S62" s="40"/>
      <c r="T62" s="46"/>
      <c r="U62" s="47">
        <f t="shared" ref="U62:V65" si="8">C62+E62+G62+I62+K62+M62+O62+Q62+S62</f>
        <v>6</v>
      </c>
      <c r="V62" s="47">
        <f t="shared" si="8"/>
        <v>20</v>
      </c>
      <c r="W62" s="44">
        <f>+V62+U62</f>
        <v>26</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3.15">
      <c r="A63" s="538" t="s">
        <v>136</v>
      </c>
      <c r="B63" s="34" t="s">
        <v>152</v>
      </c>
      <c r="C63" s="40"/>
      <c r="D63" s="41"/>
      <c r="E63" s="40">
        <v>1</v>
      </c>
      <c r="F63" s="41">
        <v>3</v>
      </c>
      <c r="G63" s="40"/>
      <c r="H63" s="41"/>
      <c r="I63" s="40"/>
      <c r="J63" s="41">
        <v>5</v>
      </c>
      <c r="K63" s="40">
        <v>3</v>
      </c>
      <c r="L63" s="41">
        <v>10</v>
      </c>
      <c r="M63" s="40">
        <v>33</v>
      </c>
      <c r="N63" s="41">
        <v>75</v>
      </c>
      <c r="O63" s="40"/>
      <c r="P63" s="41">
        <v>3</v>
      </c>
      <c r="Q63" s="40"/>
      <c r="R63" s="46"/>
      <c r="S63" s="40">
        <v>1</v>
      </c>
      <c r="T63" s="46"/>
      <c r="U63" s="47">
        <f t="shared" si="8"/>
        <v>38</v>
      </c>
      <c r="V63" s="47">
        <f t="shared" si="8"/>
        <v>96</v>
      </c>
      <c r="W63" s="44">
        <f>+V63+U63</f>
        <v>134</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39.6">
      <c r="A64" s="547" t="s">
        <v>137</v>
      </c>
      <c r="B64" s="22" t="s">
        <v>153</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7" t="s">
        <v>154</v>
      </c>
      <c r="B65" s="35" t="s">
        <v>155</v>
      </c>
      <c r="C65" s="47">
        <f t="shared" ref="C65:P65" si="9">SUM(C62:C64)</f>
        <v>0</v>
      </c>
      <c r="D65" s="47">
        <f t="shared" si="9"/>
        <v>0</v>
      </c>
      <c r="E65" s="47">
        <f t="shared" si="9"/>
        <v>1</v>
      </c>
      <c r="F65" s="47">
        <f t="shared" si="9"/>
        <v>3</v>
      </c>
      <c r="G65" s="47">
        <f t="shared" si="9"/>
        <v>0</v>
      </c>
      <c r="H65" s="47">
        <f t="shared" si="9"/>
        <v>0</v>
      </c>
      <c r="I65" s="47">
        <f t="shared" si="9"/>
        <v>0</v>
      </c>
      <c r="J65" s="47">
        <f t="shared" si="9"/>
        <v>5</v>
      </c>
      <c r="K65" s="47">
        <f t="shared" si="9"/>
        <v>4</v>
      </c>
      <c r="L65" s="47">
        <f t="shared" si="9"/>
        <v>10</v>
      </c>
      <c r="M65" s="47">
        <f t="shared" si="9"/>
        <v>37</v>
      </c>
      <c r="N65" s="47">
        <f t="shared" si="9"/>
        <v>91</v>
      </c>
      <c r="O65" s="47">
        <f t="shared" si="9"/>
        <v>1</v>
      </c>
      <c r="P65" s="47">
        <f t="shared" si="9"/>
        <v>7</v>
      </c>
      <c r="Q65" s="47">
        <f>SUM(Q62:Q64)</f>
        <v>0</v>
      </c>
      <c r="R65" s="47">
        <f>SUM(R62:R64)</f>
        <v>0</v>
      </c>
      <c r="S65" s="47">
        <f>SUM(S62:S64)</f>
        <v>1</v>
      </c>
      <c r="T65" s="47">
        <f>SUM(T62:T64)</f>
        <v>0</v>
      </c>
      <c r="U65" s="552">
        <f t="shared" si="8"/>
        <v>44</v>
      </c>
      <c r="V65" s="552">
        <f t="shared" si="8"/>
        <v>116</v>
      </c>
      <c r="W65" s="51">
        <f>U65+V65</f>
        <v>160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96" s="29" customFormat="1" ht="32.25" customHeight="1" thickTop="1">
      <c r="A66" s="554" t="s">
        <v>156</v>
      </c>
      <c r="B66" s="555" t="s">
        <v>157</v>
      </c>
      <c r="C66" s="556">
        <f t="shared" ref="C66:V66" si="10">C65+C56+C35+C26</f>
        <v>0</v>
      </c>
      <c r="D66" s="556">
        <f t="shared" si="10"/>
        <v>1</v>
      </c>
      <c r="E66" s="556">
        <f t="shared" si="10"/>
        <v>5</v>
      </c>
      <c r="F66" s="556">
        <f t="shared" si="10"/>
        <v>11</v>
      </c>
      <c r="G66" s="556">
        <f t="shared" si="10"/>
        <v>1</v>
      </c>
      <c r="H66" s="556">
        <f t="shared" si="10"/>
        <v>1</v>
      </c>
      <c r="I66" s="556">
        <f t="shared" si="10"/>
        <v>2</v>
      </c>
      <c r="J66" s="556">
        <f t="shared" si="10"/>
        <v>11</v>
      </c>
      <c r="K66" s="556">
        <f t="shared" si="10"/>
        <v>15</v>
      </c>
      <c r="L66" s="556">
        <f t="shared" si="10"/>
        <v>53</v>
      </c>
      <c r="M66" s="556">
        <f t="shared" si="10"/>
        <v>103</v>
      </c>
      <c r="N66" s="556">
        <f t="shared" si="10"/>
        <v>236</v>
      </c>
      <c r="O66" s="556">
        <f t="shared" si="10"/>
        <v>2</v>
      </c>
      <c r="P66" s="556">
        <f t="shared" si="10"/>
        <v>9</v>
      </c>
      <c r="Q66" s="556">
        <f>Q65+Q56+Q35+Q26</f>
        <v>0</v>
      </c>
      <c r="R66" s="556">
        <f>R65+R56+R35+R26</f>
        <v>0</v>
      </c>
      <c r="S66" s="556">
        <f>S65+S56+S35+S26</f>
        <v>10</v>
      </c>
      <c r="T66" s="556">
        <f>T65+T56+T35+T26</f>
        <v>9</v>
      </c>
      <c r="U66" s="556">
        <f t="shared" si="10"/>
        <v>138</v>
      </c>
      <c r="V66" s="556">
        <f t="shared" si="10"/>
        <v>331</v>
      </c>
      <c r="W66" s="557">
        <f>U66+V66</f>
        <v>469</v>
      </c>
      <c r="X66" s="39"/>
    </row>
    <row r="67" spans="1:96" ht="24.75" customHeight="1"/>
    <row r="68" spans="1:96" ht="15.6">
      <c r="A68"/>
      <c r="B68"/>
      <c r="C68"/>
      <c r="D68"/>
      <c r="E68"/>
      <c r="F68"/>
      <c r="G68"/>
      <c r="H68"/>
      <c r="I68"/>
      <c r="J68"/>
      <c r="K68"/>
      <c r="L68"/>
      <c r="M68"/>
      <c r="N68"/>
      <c r="O68"/>
      <c r="P68"/>
      <c r="Q68"/>
      <c r="R68"/>
      <c r="S68"/>
      <c r="T68"/>
      <c r="U68"/>
      <c r="V68"/>
      <c r="W68"/>
    </row>
    <row r="69" spans="1:96" ht="15.6">
      <c r="A69"/>
      <c r="B69"/>
      <c r="C69"/>
      <c r="D69"/>
      <c r="E69"/>
      <c r="F69"/>
      <c r="G69"/>
      <c r="H69"/>
      <c r="I69"/>
      <c r="J69"/>
      <c r="K69"/>
      <c r="L69"/>
      <c r="M69"/>
      <c r="N69"/>
      <c r="O69"/>
      <c r="P69"/>
      <c r="Q69"/>
      <c r="R69"/>
      <c r="S69"/>
      <c r="T69"/>
      <c r="U69"/>
      <c r="V69"/>
      <c r="W69"/>
    </row>
    <row r="70" spans="1:96" ht="15.6">
      <c r="A70"/>
      <c r="B70"/>
      <c r="C70"/>
      <c r="D70"/>
      <c r="E70"/>
      <c r="F70"/>
      <c r="G70"/>
      <c r="H70"/>
      <c r="I70"/>
      <c r="J70"/>
      <c r="K70"/>
      <c r="L70"/>
      <c r="M70"/>
      <c r="N70"/>
      <c r="O70"/>
      <c r="P70"/>
      <c r="Q70"/>
      <c r="R70"/>
      <c r="S70"/>
      <c r="T70"/>
      <c r="U70"/>
      <c r="V70"/>
      <c r="W70"/>
    </row>
    <row r="71" spans="1:96" ht="15.6">
      <c r="A71"/>
      <c r="B71"/>
      <c r="C71"/>
      <c r="D71"/>
      <c r="E71"/>
      <c r="F71"/>
      <c r="G71"/>
      <c r="H71"/>
      <c r="I71"/>
      <c r="J71"/>
      <c r="K71"/>
      <c r="L71"/>
      <c r="M71"/>
      <c r="N71"/>
      <c r="O71"/>
      <c r="P71"/>
      <c r="Q71"/>
      <c r="R71"/>
      <c r="S71"/>
      <c r="T71"/>
      <c r="U71"/>
      <c r="V71"/>
      <c r="W71"/>
    </row>
    <row r="72" spans="1:96" ht="15.6">
      <c r="A72"/>
      <c r="B72"/>
      <c r="C72"/>
      <c r="D72"/>
      <c r="E72"/>
      <c r="F72"/>
      <c r="G72"/>
      <c r="H72"/>
      <c r="I72"/>
      <c r="J72"/>
      <c r="K72"/>
      <c r="L72"/>
      <c r="M72"/>
      <c r="N72"/>
      <c r="O72"/>
      <c r="P72"/>
      <c r="Q72"/>
      <c r="R72"/>
      <c r="S72"/>
      <c r="T72"/>
      <c r="U72"/>
      <c r="V72"/>
      <c r="W72"/>
    </row>
    <row r="73" spans="1:96" ht="15.6">
      <c r="A73"/>
      <c r="B73"/>
      <c r="C73"/>
      <c r="D73"/>
      <c r="E73"/>
      <c r="F73"/>
      <c r="G73"/>
      <c r="H73"/>
      <c r="I73"/>
      <c r="J73"/>
      <c r="K73"/>
      <c r="L73"/>
      <c r="M73"/>
      <c r="N73"/>
      <c r="O73"/>
      <c r="P73"/>
      <c r="Q73"/>
      <c r="R73"/>
      <c r="S73"/>
      <c r="T73"/>
      <c r="U73"/>
      <c r="V73"/>
      <c r="W73"/>
    </row>
    <row r="74" spans="1:96" ht="15.6">
      <c r="A74"/>
      <c r="B74"/>
      <c r="C74"/>
      <c r="D74"/>
      <c r="E74"/>
      <c r="F74"/>
      <c r="G74"/>
      <c r="H74"/>
      <c r="I74"/>
      <c r="J74"/>
      <c r="K74"/>
      <c r="L74"/>
      <c r="M74"/>
      <c r="N74"/>
      <c r="O74"/>
      <c r="P74"/>
      <c r="Q74"/>
      <c r="R74"/>
      <c r="S74"/>
      <c r="T74"/>
      <c r="U74"/>
      <c r="V74"/>
      <c r="W74"/>
    </row>
    <row r="75" spans="1:96" ht="15.6">
      <c r="A75"/>
      <c r="B75"/>
      <c r="C75"/>
      <c r="D75"/>
      <c r="E75"/>
      <c r="F75"/>
      <c r="G75"/>
      <c r="H75"/>
      <c r="I75"/>
      <c r="J75"/>
      <c r="K75"/>
      <c r="L75"/>
      <c r="M75"/>
      <c r="N75"/>
      <c r="O75"/>
      <c r="P75"/>
      <c r="Q75"/>
      <c r="R75"/>
      <c r="S75"/>
      <c r="T75"/>
      <c r="U75"/>
      <c r="V75"/>
      <c r="W75"/>
    </row>
    <row r="76" spans="1:96" ht="15.6">
      <c r="A76"/>
      <c r="B76"/>
      <c r="C76"/>
      <c r="D76"/>
      <c r="E76"/>
      <c r="F76"/>
      <c r="G76"/>
      <c r="H76"/>
      <c r="I76"/>
      <c r="J76"/>
      <c r="K76"/>
      <c r="L76"/>
      <c r="M76"/>
      <c r="N76"/>
      <c r="O76"/>
      <c r="P76"/>
      <c r="Q76"/>
      <c r="R76"/>
      <c r="S76"/>
      <c r="T76"/>
      <c r="U76"/>
      <c r="V76"/>
      <c r="W76"/>
    </row>
    <row r="77" spans="1:96" ht="15.6">
      <c r="A77"/>
      <c r="B77"/>
      <c r="C77"/>
      <c r="D77"/>
      <c r="E77"/>
      <c r="F77"/>
      <c r="G77"/>
      <c r="H77"/>
      <c r="I77"/>
      <c r="J77"/>
      <c r="K77"/>
      <c r="L77"/>
      <c r="M77"/>
      <c r="N77"/>
      <c r="O77"/>
      <c r="P77"/>
      <c r="Q77"/>
      <c r="R77"/>
      <c r="S77"/>
      <c r="T77"/>
      <c r="U77"/>
      <c r="V77"/>
      <c r="W77"/>
    </row>
    <row r="78" spans="1:96" ht="15.6">
      <c r="A78"/>
      <c r="B78"/>
      <c r="C78"/>
      <c r="D78"/>
      <c r="E78"/>
      <c r="F78"/>
      <c r="G78"/>
      <c r="H78"/>
      <c r="I78"/>
      <c r="J78"/>
      <c r="K78"/>
      <c r="L78"/>
      <c r="M78"/>
      <c r="N78"/>
      <c r="O78"/>
      <c r="P78"/>
      <c r="Q78"/>
      <c r="R78"/>
      <c r="S78"/>
      <c r="T78"/>
      <c r="U78"/>
      <c r="V78"/>
      <c r="W78"/>
    </row>
    <row r="79" spans="1:96" ht="15.6">
      <c r="A79"/>
      <c r="B79"/>
      <c r="C79"/>
      <c r="D79"/>
      <c r="E79"/>
      <c r="F79"/>
      <c r="G79"/>
      <c r="H79"/>
      <c r="I79"/>
      <c r="J79"/>
      <c r="K79"/>
      <c r="L79"/>
      <c r="M79"/>
      <c r="N79"/>
      <c r="O79"/>
      <c r="P79"/>
      <c r="Q79"/>
      <c r="R79"/>
      <c r="S79"/>
      <c r="T79"/>
      <c r="U79"/>
      <c r="V79"/>
      <c r="W79"/>
    </row>
    <row r="80" spans="1:96" ht="15.6">
      <c r="A80"/>
      <c r="B80"/>
      <c r="C80"/>
      <c r="D80"/>
      <c r="E80"/>
      <c r="F80"/>
      <c r="G80"/>
      <c r="H80"/>
      <c r="I80"/>
      <c r="J80"/>
      <c r="K80"/>
      <c r="L80"/>
      <c r="M80"/>
      <c r="N80"/>
      <c r="O80"/>
      <c r="P80"/>
      <c r="Q80"/>
      <c r="R80"/>
      <c r="S80"/>
      <c r="T80"/>
      <c r="U80"/>
      <c r="V80"/>
      <c r="W80"/>
    </row>
    <row r="81" spans="1:23" ht="15.6">
      <c r="A81"/>
      <c r="B81"/>
      <c r="C81"/>
      <c r="D81"/>
      <c r="E81"/>
      <c r="F81"/>
      <c r="G81"/>
      <c r="H81"/>
      <c r="I81"/>
      <c r="J81"/>
      <c r="K81"/>
      <c r="L81"/>
      <c r="M81"/>
      <c r="N81"/>
      <c r="O81"/>
      <c r="P81"/>
      <c r="Q81"/>
      <c r="R81"/>
      <c r="S81"/>
      <c r="T81"/>
      <c r="U81"/>
      <c r="V81"/>
      <c r="W81"/>
    </row>
    <row r="82" spans="1:23" ht="15.6">
      <c r="A82"/>
      <c r="B82"/>
      <c r="C82"/>
      <c r="D82"/>
      <c r="E82"/>
      <c r="F82"/>
      <c r="G82"/>
      <c r="H82"/>
      <c r="I82"/>
      <c r="J82"/>
      <c r="K82"/>
      <c r="L82"/>
      <c r="M82"/>
      <c r="N82"/>
      <c r="O82"/>
      <c r="P82"/>
      <c r="Q82"/>
      <c r="R82"/>
      <c r="S82"/>
      <c r="T82"/>
      <c r="U82"/>
      <c r="V82"/>
      <c r="W82"/>
    </row>
    <row r="83" spans="1:23" ht="15.6">
      <c r="A83"/>
      <c r="B83"/>
      <c r="C83"/>
      <c r="D83"/>
      <c r="E83"/>
      <c r="F83"/>
      <c r="G83"/>
      <c r="H83"/>
      <c r="I83"/>
      <c r="J83"/>
      <c r="K83"/>
      <c r="L83"/>
      <c r="M83"/>
      <c r="N83"/>
      <c r="O83"/>
      <c r="P83"/>
      <c r="Q83"/>
      <c r="R83"/>
      <c r="S83"/>
      <c r="T83"/>
      <c r="U83"/>
      <c r="V83"/>
      <c r="W83"/>
    </row>
    <row r="84" spans="1:23" ht="15.6">
      <c r="A84"/>
      <c r="B84"/>
      <c r="C84"/>
      <c r="D84"/>
      <c r="E84"/>
      <c r="F84"/>
      <c r="G84"/>
      <c r="H84"/>
      <c r="I84"/>
      <c r="J84"/>
      <c r="K84"/>
      <c r="L84"/>
      <c r="M84"/>
      <c r="N84"/>
      <c r="O84"/>
      <c r="P84"/>
      <c r="Q84"/>
      <c r="R84"/>
      <c r="S84"/>
      <c r="T84"/>
      <c r="U84"/>
      <c r="V84"/>
      <c r="W84"/>
    </row>
    <row r="85" spans="1:23" ht="15.6">
      <c r="A85"/>
      <c r="B85"/>
      <c r="C85"/>
      <c r="D85"/>
      <c r="E85"/>
      <c r="F85"/>
      <c r="G85"/>
      <c r="H85"/>
      <c r="I85"/>
      <c r="J85"/>
      <c r="K85"/>
      <c r="L85"/>
      <c r="M85"/>
      <c r="N85"/>
      <c r="O85"/>
      <c r="P85"/>
      <c r="Q85"/>
      <c r="R85"/>
      <c r="S85"/>
      <c r="T85"/>
      <c r="U85"/>
      <c r="V85"/>
      <c r="W85"/>
    </row>
    <row r="86" spans="1:23" ht="15.6">
      <c r="A86"/>
      <c r="B86"/>
      <c r="C86"/>
      <c r="D86"/>
      <c r="E86"/>
      <c r="F86"/>
      <c r="G86"/>
      <c r="H86"/>
      <c r="I86"/>
      <c r="J86"/>
      <c r="K86"/>
      <c r="L86"/>
      <c r="M86"/>
      <c r="N86"/>
      <c r="O86"/>
      <c r="P86"/>
      <c r="Q86"/>
      <c r="R86"/>
      <c r="S86"/>
      <c r="T86"/>
      <c r="U86"/>
      <c r="V86"/>
      <c r="W86"/>
    </row>
    <row r="87" spans="1:23" ht="15.6">
      <c r="A87"/>
      <c r="B87"/>
      <c r="C87"/>
      <c r="D87"/>
      <c r="E87"/>
      <c r="F87"/>
      <c r="G87"/>
      <c r="H87"/>
      <c r="I87"/>
      <c r="J87"/>
      <c r="K87"/>
      <c r="L87"/>
      <c r="M87"/>
      <c r="N87"/>
      <c r="O87"/>
      <c r="P87"/>
      <c r="Q87"/>
      <c r="R87"/>
      <c r="S87"/>
      <c r="T87"/>
      <c r="U87"/>
      <c r="V87"/>
      <c r="W87"/>
    </row>
    <row r="88" spans="1:23" ht="15.6">
      <c r="A88"/>
      <c r="B88"/>
      <c r="C88"/>
      <c r="D88"/>
      <c r="E88"/>
      <c r="F88"/>
      <c r="G88"/>
      <c r="H88"/>
      <c r="I88"/>
      <c r="J88"/>
      <c r="K88"/>
      <c r="L88"/>
      <c r="M88"/>
      <c r="N88"/>
      <c r="O88"/>
      <c r="P88"/>
      <c r="Q88"/>
      <c r="R88"/>
      <c r="S88"/>
      <c r="T88"/>
      <c r="U88"/>
      <c r="V88"/>
      <c r="W88"/>
    </row>
    <row r="89" spans="1:23" ht="15.6">
      <c r="A89"/>
      <c r="B89"/>
      <c r="C89"/>
      <c r="D89"/>
      <c r="E89"/>
      <c r="F89"/>
      <c r="G89"/>
      <c r="H89"/>
      <c r="I89"/>
      <c r="J89"/>
      <c r="K89"/>
      <c r="L89"/>
      <c r="M89"/>
      <c r="N89"/>
      <c r="O89"/>
      <c r="P89"/>
      <c r="Q89"/>
      <c r="R89"/>
      <c r="S89"/>
      <c r="T89"/>
      <c r="U89"/>
      <c r="V89"/>
      <c r="W89"/>
    </row>
    <row r="90" spans="1:23" ht="15.6">
      <c r="A90"/>
      <c r="B90"/>
      <c r="C90"/>
      <c r="D90"/>
      <c r="E90"/>
      <c r="F90"/>
      <c r="G90"/>
      <c r="H90"/>
      <c r="I90"/>
      <c r="J90"/>
      <c r="K90"/>
      <c r="L90"/>
      <c r="M90"/>
      <c r="N90"/>
      <c r="O90"/>
      <c r="P90"/>
      <c r="Q90"/>
      <c r="R90"/>
      <c r="S90"/>
      <c r="T90"/>
      <c r="U90"/>
      <c r="V90"/>
      <c r="W90"/>
    </row>
    <row r="91" spans="1:23" ht="15.6">
      <c r="A91"/>
      <c r="B91"/>
      <c r="C91"/>
      <c r="D91"/>
      <c r="E91"/>
      <c r="F91"/>
      <c r="G91"/>
      <c r="H91"/>
      <c r="I91"/>
      <c r="J91"/>
      <c r="K91"/>
      <c r="L91"/>
      <c r="M91"/>
      <c r="N91"/>
      <c r="O91"/>
      <c r="P91"/>
      <c r="Q91"/>
      <c r="R91"/>
      <c r="S91"/>
      <c r="T91"/>
      <c r="U91"/>
      <c r="V91"/>
      <c r="W91"/>
    </row>
    <row r="92" spans="1:23" ht="15.6">
      <c r="A92"/>
      <c r="B92"/>
      <c r="C92"/>
      <c r="D92"/>
      <c r="E92"/>
      <c r="F92"/>
      <c r="G92"/>
      <c r="H92"/>
      <c r="I92"/>
      <c r="J92"/>
      <c r="K92"/>
      <c r="L92"/>
      <c r="M92"/>
      <c r="N92"/>
      <c r="O92"/>
      <c r="P92"/>
      <c r="Q92"/>
      <c r="R92"/>
      <c r="S92"/>
      <c r="T92"/>
      <c r="U92"/>
      <c r="V92"/>
      <c r="W92"/>
    </row>
    <row r="93" spans="1:23" ht="15.6">
      <c r="A93"/>
      <c r="B93"/>
      <c r="C93"/>
      <c r="D93"/>
      <c r="E93"/>
      <c r="F93"/>
      <c r="G93"/>
      <c r="H93"/>
      <c r="I93"/>
      <c r="J93"/>
      <c r="K93"/>
      <c r="L93"/>
      <c r="M93"/>
      <c r="N93"/>
      <c r="O93"/>
      <c r="P93"/>
      <c r="Q93"/>
      <c r="R93"/>
      <c r="S93"/>
      <c r="T93"/>
      <c r="U93"/>
      <c r="V93"/>
      <c r="W93"/>
    </row>
    <row r="94" spans="1:23" ht="15.6">
      <c r="A94"/>
      <c r="B94"/>
      <c r="C94"/>
      <c r="D94"/>
      <c r="E94"/>
      <c r="F94"/>
      <c r="G94"/>
      <c r="H94"/>
      <c r="I94"/>
      <c r="J94"/>
      <c r="K94"/>
      <c r="L94"/>
      <c r="M94"/>
      <c r="N94"/>
      <c r="O94"/>
      <c r="P94"/>
      <c r="Q94"/>
      <c r="R94"/>
      <c r="S94"/>
      <c r="T94"/>
      <c r="U94"/>
      <c r="V94"/>
      <c r="W94"/>
    </row>
  </sheetData>
  <mergeCells count="61">
    <mergeCell ref="C42:D42"/>
    <mergeCell ref="E42:F42"/>
    <mergeCell ref="G42:H42"/>
    <mergeCell ref="I42:J42"/>
    <mergeCell ref="S42:T42"/>
    <mergeCell ref="K42:L42"/>
    <mergeCell ref="M42:N42"/>
    <mergeCell ref="O42:P42"/>
    <mergeCell ref="Q42:R42"/>
    <mergeCell ref="M40:N40"/>
    <mergeCell ref="O40:P40"/>
    <mergeCell ref="Q40:R40"/>
    <mergeCell ref="S40:T40"/>
    <mergeCell ref="C41:D41"/>
    <mergeCell ref="E41:F41"/>
    <mergeCell ref="G41:H41"/>
    <mergeCell ref="I41:J41"/>
    <mergeCell ref="K41:L41"/>
    <mergeCell ref="M41:N41"/>
    <mergeCell ref="O41:P41"/>
    <mergeCell ref="Q41:R41"/>
    <mergeCell ref="S41:T41"/>
    <mergeCell ref="C40:D40"/>
    <mergeCell ref="E40:F40"/>
    <mergeCell ref="G40:H40"/>
    <mergeCell ref="I40:J40"/>
    <mergeCell ref="K40:L40"/>
    <mergeCell ref="M11:N11"/>
    <mergeCell ref="O11:P11"/>
    <mergeCell ref="Q11:R11"/>
    <mergeCell ref="S11:T11"/>
    <mergeCell ref="C12:D12"/>
    <mergeCell ref="E12:F12"/>
    <mergeCell ref="G12:H12"/>
    <mergeCell ref="I12:J12"/>
    <mergeCell ref="K12:L12"/>
    <mergeCell ref="M12:N12"/>
    <mergeCell ref="O12:P12"/>
    <mergeCell ref="Q12:R12"/>
    <mergeCell ref="S12:T12"/>
    <mergeCell ref="C11:D11"/>
    <mergeCell ref="E11:F11"/>
    <mergeCell ref="G11:H11"/>
    <mergeCell ref="I11:J11"/>
    <mergeCell ref="K11:L1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s>
  <phoneticPr fontId="54" type="noConversion"/>
  <pageMargins left="0.47" right="0.35" top="0.48" bottom="0.38" header="0" footer="0.25"/>
  <pageSetup scale="94" fitToHeight="2" orientation="landscape" horizontalDpi="4294967292" verticalDpi="300" r:id="rId1"/>
  <headerFooter alignWithMargins="0">
    <oddFooter>Page &amp;P of &amp;N</oddFooter>
  </headerFooter>
  <rowBreaks count="1" manualBreakCount="1">
    <brk id="35"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dimension ref="A1:CR94"/>
  <sheetViews>
    <sheetView showGridLines="0" showZeros="0" defaultGridColor="0" colorId="8" zoomScaleNormal="110" zoomScaleSheetLayoutView="50" workbookViewId="0"/>
  </sheetViews>
  <sheetFormatPr defaultColWidth="0" defaultRowHeight="10.15"/>
  <cols>
    <col min="1" max="1" width="40.625" style="12" customWidth="1"/>
    <col min="2" max="2" width="3" style="11" customWidth="1"/>
    <col min="3" max="3" width="4.125" style="12" customWidth="1"/>
    <col min="4" max="4" width="4.5" style="12" customWidth="1"/>
    <col min="5" max="5" width="4.125" style="12" customWidth="1"/>
    <col min="6" max="6" width="4.5" style="12" customWidth="1"/>
    <col min="7" max="7" width="4.125" style="12" customWidth="1"/>
    <col min="8" max="8" width="4.5" style="12" customWidth="1"/>
    <col min="9" max="9" width="4.125" style="12" customWidth="1"/>
    <col min="10" max="10" width="4.5" style="12" customWidth="1"/>
    <col min="11" max="11" width="4.125" style="12" customWidth="1"/>
    <col min="12" max="12" width="4.5" style="12" customWidth="1"/>
    <col min="13" max="14" width="5.125" style="12" customWidth="1"/>
    <col min="15" max="15" width="4.125" style="12" customWidth="1"/>
    <col min="16" max="20" width="4.5" style="12" customWidth="1"/>
    <col min="21" max="23" width="5.625" style="13" customWidth="1"/>
    <col min="24" max="24" width="2.875" style="12" customWidth="1"/>
    <col min="25" max="53" width="6.625" style="12" hidden="1" customWidth="1"/>
    <col min="54" max="16384" width="0" style="12" hidden="1"/>
  </cols>
  <sheetData>
    <row r="1" spans="1:96" s="3" customFormat="1" ht="27.6">
      <c r="A1" s="814" t="str">
        <f>Cover!$A$3</f>
        <v>FALL ENROLLMENT 2021</v>
      </c>
      <c r="B1" s="33"/>
      <c r="C1" s="33"/>
      <c r="D1" s="33"/>
      <c r="E1" s="33"/>
      <c r="F1" s="33"/>
      <c r="G1" s="33"/>
      <c r="H1" s="33"/>
      <c r="I1" s="33"/>
      <c r="J1" s="33"/>
      <c r="K1" s="33"/>
      <c r="L1" s="33"/>
      <c r="M1" s="33"/>
      <c r="N1" s="33"/>
      <c r="O1" s="33"/>
      <c r="P1" s="33"/>
      <c r="Q1" s="33"/>
      <c r="R1" s="33"/>
      <c r="S1" s="33"/>
      <c r="T1" s="33"/>
      <c r="U1" s="33"/>
      <c r="V1" s="33"/>
      <c r="W1" s="33"/>
      <c r="X1" s="790">
        <f>IF(COUNT(C18:P25,C28:P29,C32:P34,C48:P55,C58:P59,C62:P64)&gt;0,1,0)</f>
        <v>0</v>
      </c>
    </row>
    <row r="2" spans="1:96" s="4" customFormat="1">
      <c r="A2" s="249" t="str">
        <f>Cover!A62</f>
        <v>2122</v>
      </c>
      <c r="B2" s="56"/>
      <c r="C2" s="56"/>
      <c r="D2" s="56"/>
      <c r="E2" s="56"/>
      <c r="F2" s="56"/>
      <c r="G2" s="56"/>
      <c r="H2" s="56"/>
      <c r="I2" s="56"/>
      <c r="J2" s="56"/>
    </row>
    <row r="3" spans="1:96" s="3" customFormat="1" ht="13.9" thickBot="1">
      <c r="A3" s="802" t="str">
        <f>Cover!$A$8</f>
        <v>Western Connecticut State University</v>
      </c>
      <c r="B3" s="57"/>
      <c r="C3" s="58"/>
      <c r="D3" s="57"/>
      <c r="E3" s="57"/>
      <c r="F3" s="57"/>
      <c r="G3" s="57"/>
      <c r="H3" s="57"/>
      <c r="I3" s="57"/>
      <c r="J3" s="57"/>
      <c r="K3" s="5" t="s">
        <v>48</v>
      </c>
      <c r="M3" s="2"/>
      <c r="N3" s="6" t="str">
        <f>+Cover!$A$10</f>
        <v>Jerry Wilcox</v>
      </c>
      <c r="O3" s="7"/>
      <c r="P3" s="8"/>
      <c r="Q3" s="8"/>
      <c r="R3" s="8"/>
      <c r="S3" s="8"/>
      <c r="T3" s="8"/>
      <c r="U3" s="7"/>
      <c r="X3" s="789"/>
    </row>
    <row r="4" spans="1:96" s="3" customFormat="1" ht="13.9" thickBot="1">
      <c r="A4" s="31">
        <f>Cover!$B$8</f>
        <v>130776</v>
      </c>
      <c r="B4" s="57"/>
      <c r="C4" s="58"/>
      <c r="D4" s="57"/>
      <c r="E4" s="56"/>
      <c r="F4" s="57"/>
      <c r="G4" s="56"/>
      <c r="H4" s="57"/>
      <c r="I4" s="56"/>
      <c r="J4" s="57"/>
      <c r="K4" s="5" t="s">
        <v>49</v>
      </c>
      <c r="M4" s="9"/>
      <c r="N4" s="6" t="str">
        <f>+Cover!$B$10</f>
        <v>Director, Institutional Research and Assessment</v>
      </c>
      <c r="O4" s="7"/>
      <c r="P4" s="8"/>
      <c r="Q4" s="8"/>
      <c r="R4" s="8"/>
      <c r="S4" s="8"/>
      <c r="T4" s="8"/>
      <c r="U4" s="7"/>
    </row>
    <row r="5" spans="1:96" s="3" customFormat="1" ht="16.149999999999999" thickBot="1">
      <c r="A5" s="32" t="str">
        <f>Cover!$C$8</f>
        <v>Danbury</v>
      </c>
      <c r="B5" s="57"/>
      <c r="C5" s="58"/>
      <c r="D5" s="57"/>
      <c r="E5" s="56"/>
      <c r="F5" s="57"/>
      <c r="G5" s="56"/>
      <c r="H5" s="57"/>
      <c r="I5" s="56"/>
      <c r="J5" s="57"/>
      <c r="K5" s="5" t="s">
        <v>50</v>
      </c>
      <c r="M5" s="9"/>
      <c r="N5" s="990" t="str">
        <f>+Cover!$C$10</f>
        <v>203-837-8242</v>
      </c>
      <c r="O5" s="1152"/>
      <c r="P5" s="1152"/>
      <c r="Q5" s="939"/>
      <c r="R5" s="939"/>
      <c r="S5" s="939"/>
      <c r="T5" s="939"/>
      <c r="U5" s="7"/>
    </row>
    <row r="6" spans="1:96" ht="10.5" customHeight="1">
      <c r="A6" s="10"/>
      <c r="B6" s="56"/>
      <c r="C6" s="56"/>
      <c r="D6" s="56"/>
      <c r="E6" s="56"/>
      <c r="F6" s="56"/>
      <c r="G6" s="56"/>
      <c r="H6" s="56"/>
      <c r="I6" s="56"/>
      <c r="J6" s="56"/>
      <c r="L6" s="9"/>
      <c r="N6" s="9"/>
      <c r="P6" s="9"/>
      <c r="Q6" s="9"/>
      <c r="R6" s="9"/>
      <c r="S6" s="9"/>
      <c r="T6" s="9"/>
      <c r="V6" s="14"/>
      <c r="W6" s="14"/>
    </row>
    <row r="7" spans="1:96" ht="20.45">
      <c r="A7" s="537" t="s">
        <v>51</v>
      </c>
    </row>
    <row r="8" spans="1:96">
      <c r="A8" s="10" t="s">
        <v>52</v>
      </c>
    </row>
    <row r="9" spans="1: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96">
      <c r="A10" s="984" t="s">
        <v>166</v>
      </c>
      <c r="B10" s="36"/>
      <c r="C10" s="991" t="s">
        <v>54</v>
      </c>
      <c r="D10" s="992"/>
      <c r="E10" s="991" t="s">
        <v>55</v>
      </c>
      <c r="F10" s="992"/>
      <c r="G10" s="991" t="s">
        <v>56</v>
      </c>
      <c r="H10" s="992"/>
      <c r="I10" s="991"/>
      <c r="J10" s="992"/>
      <c r="K10" s="991" t="s">
        <v>57</v>
      </c>
      <c r="L10" s="992"/>
      <c r="M10" s="991"/>
      <c r="N10" s="992"/>
      <c r="O10" s="991" t="s">
        <v>58</v>
      </c>
      <c r="P10" s="992"/>
      <c r="Q10" s="991" t="s">
        <v>59</v>
      </c>
      <c r="R10" s="992"/>
      <c r="S10" s="991" t="s">
        <v>60</v>
      </c>
      <c r="T10" s="992"/>
      <c r="U10" s="59" t="s">
        <v>61</v>
      </c>
      <c r="V10" s="60"/>
      <c r="W10" s="61"/>
    </row>
    <row r="11" spans="1:96" ht="12" customHeight="1">
      <c r="A11" s="985"/>
      <c r="B11" s="20"/>
      <c r="C11" s="993" t="s">
        <v>62</v>
      </c>
      <c r="D11" s="994"/>
      <c r="E11" s="993" t="s">
        <v>63</v>
      </c>
      <c r="F11" s="994"/>
      <c r="G11" s="993" t="s">
        <v>64</v>
      </c>
      <c r="H11" s="994"/>
      <c r="I11" s="993" t="s">
        <v>65</v>
      </c>
      <c r="J11" s="994"/>
      <c r="K11" s="993" t="s">
        <v>66</v>
      </c>
      <c r="L11" s="994"/>
      <c r="M11" s="993" t="s">
        <v>67</v>
      </c>
      <c r="N11" s="994"/>
      <c r="O11" s="993" t="s">
        <v>68</v>
      </c>
      <c r="P11" s="994"/>
      <c r="Q11" s="993" t="s">
        <v>69</v>
      </c>
      <c r="R11" s="994"/>
      <c r="S11" s="993" t="s">
        <v>70</v>
      </c>
      <c r="T11" s="994"/>
      <c r="U11" s="62" t="s">
        <v>71</v>
      </c>
      <c r="V11" s="63"/>
      <c r="W11" s="64"/>
    </row>
    <row r="12" spans="1:96" s="17" customFormat="1" ht="12" customHeight="1">
      <c r="A12" s="986" t="s">
        <v>167</v>
      </c>
      <c r="B12" s="20"/>
      <c r="C12" s="995" t="s">
        <v>73</v>
      </c>
      <c r="D12" s="996"/>
      <c r="E12" s="995" t="s">
        <v>56</v>
      </c>
      <c r="F12" s="996"/>
      <c r="G12" s="995" t="s">
        <v>74</v>
      </c>
      <c r="H12" s="996"/>
      <c r="I12" s="995"/>
      <c r="J12" s="996"/>
      <c r="K12" s="995" t="s">
        <v>75</v>
      </c>
      <c r="L12" s="996"/>
      <c r="M12" s="995"/>
      <c r="N12" s="996"/>
      <c r="O12" s="995" t="s">
        <v>76</v>
      </c>
      <c r="P12" s="996"/>
      <c r="Q12" s="995" t="s">
        <v>77</v>
      </c>
      <c r="R12" s="996"/>
      <c r="S12" s="995" t="s">
        <v>78</v>
      </c>
      <c r="T12" s="996"/>
      <c r="U12" s="65" t="s">
        <v>79</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7.25" customHeight="1">
      <c r="A13" s="1153"/>
      <c r="B13" s="20" t="s">
        <v>80</v>
      </c>
      <c r="C13" s="68" t="s">
        <v>81</v>
      </c>
      <c r="D13" s="23" t="s">
        <v>82</v>
      </c>
      <c r="E13" s="68" t="s">
        <v>81</v>
      </c>
      <c r="F13" s="23" t="s">
        <v>82</v>
      </c>
      <c r="G13" s="68" t="s">
        <v>81</v>
      </c>
      <c r="H13" s="23" t="s">
        <v>82</v>
      </c>
      <c r="I13" s="68" t="s">
        <v>81</v>
      </c>
      <c r="J13" s="23" t="s">
        <v>82</v>
      </c>
      <c r="K13" s="68" t="s">
        <v>81</v>
      </c>
      <c r="L13" s="23" t="s">
        <v>82</v>
      </c>
      <c r="M13" s="68" t="s">
        <v>81</v>
      </c>
      <c r="N13" s="23" t="s">
        <v>82</v>
      </c>
      <c r="O13" s="68" t="s">
        <v>81</v>
      </c>
      <c r="P13" s="23" t="s">
        <v>82</v>
      </c>
      <c r="Q13" s="68" t="s">
        <v>81</v>
      </c>
      <c r="R13" s="23" t="s">
        <v>82</v>
      </c>
      <c r="S13" s="68" t="s">
        <v>81</v>
      </c>
      <c r="T13" s="23" t="s">
        <v>82</v>
      </c>
      <c r="U13" s="69" t="s">
        <v>81</v>
      </c>
      <c r="V13" s="21" t="s">
        <v>82</v>
      </c>
      <c r="W13" s="21" t="s">
        <v>83</v>
      </c>
    </row>
    <row r="14" spans="1:96" s="17" customFormat="1" ht="14.25" customHeight="1">
      <c r="A14" s="601" t="s">
        <v>84</v>
      </c>
      <c r="B14" s="20" t="s">
        <v>85</v>
      </c>
      <c r="C14" s="70" t="s">
        <v>86</v>
      </c>
      <c r="D14" s="70" t="s">
        <v>87</v>
      </c>
      <c r="E14" s="70" t="s">
        <v>88</v>
      </c>
      <c r="F14" s="70" t="s">
        <v>89</v>
      </c>
      <c r="G14" s="70" t="s">
        <v>90</v>
      </c>
      <c r="H14" s="70" t="s">
        <v>91</v>
      </c>
      <c r="I14" s="70" t="s">
        <v>92</v>
      </c>
      <c r="J14" s="70" t="s">
        <v>93</v>
      </c>
      <c r="K14" s="70" t="s">
        <v>94</v>
      </c>
      <c r="L14" s="70" t="s">
        <v>95</v>
      </c>
      <c r="M14" s="70" t="s">
        <v>96</v>
      </c>
      <c r="N14" s="70" t="s">
        <v>97</v>
      </c>
      <c r="O14" s="70" t="s">
        <v>98</v>
      </c>
      <c r="P14" s="70" t="s">
        <v>99</v>
      </c>
      <c r="Q14" s="70" t="s">
        <v>100</v>
      </c>
      <c r="R14" s="70" t="s">
        <v>101</v>
      </c>
      <c r="S14" s="70" t="s">
        <v>102</v>
      </c>
      <c r="T14" s="70" t="s">
        <v>103</v>
      </c>
      <c r="U14" s="71" t="s">
        <v>104</v>
      </c>
      <c r="V14" s="71" t="s">
        <v>105</v>
      </c>
      <c r="W14" s="71" t="s">
        <v>106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987" t="s">
        <v>107</v>
      </c>
      <c r="B15" s="988"/>
      <c r="C15" s="988"/>
      <c r="D15" s="988"/>
      <c r="E15" s="988"/>
      <c r="F15" s="988"/>
      <c r="G15" s="988"/>
      <c r="H15" s="988"/>
      <c r="I15" s="988"/>
      <c r="J15" s="988"/>
      <c r="K15" s="988"/>
      <c r="L15" s="988"/>
      <c r="M15" s="988"/>
      <c r="N15" s="988"/>
      <c r="O15" s="988"/>
      <c r="P15" s="988"/>
      <c r="Q15" s="988"/>
      <c r="R15" s="988"/>
      <c r="S15" s="988"/>
      <c r="T15" s="988"/>
      <c r="U15" s="988"/>
      <c r="V15" s="988"/>
      <c r="W15" s="98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96" ht="17.45">
      <c r="A16" s="548" t="s">
        <v>108</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96" ht="13.15">
      <c r="A17" s="37" t="s">
        <v>109</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4.1" customHeight="1">
      <c r="A18" s="823" t="s">
        <v>110</v>
      </c>
      <c r="B18" s="34" t="s">
        <v>111</v>
      </c>
      <c r="C18" s="40"/>
      <c r="D18" s="41"/>
      <c r="E18" s="40"/>
      <c r="F18" s="41"/>
      <c r="G18" s="40"/>
      <c r="H18" s="41"/>
      <c r="I18" s="40"/>
      <c r="J18" s="41"/>
      <c r="K18" s="40"/>
      <c r="L18" s="41"/>
      <c r="M18" s="40"/>
      <c r="N18" s="41"/>
      <c r="O18" s="40"/>
      <c r="P18" s="41"/>
      <c r="Q18" s="40"/>
      <c r="R18" s="46"/>
      <c r="S18" s="40"/>
      <c r="T18" s="46"/>
      <c r="U18" s="47">
        <f>C18+E18+G18+I18+K18+M18+O18+Q18+S18</f>
        <v>0</v>
      </c>
      <c r="V18" s="47">
        <f>D18+F18+H18+J18+L18+N18+P18+R18+T18</f>
        <v>0</v>
      </c>
      <c r="W18" s="44">
        <f>+V18+U18</f>
        <v>0</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4.1" customHeight="1">
      <c r="A19" s="824" t="s">
        <v>112</v>
      </c>
      <c r="B19" s="820" t="s">
        <v>113</v>
      </c>
      <c r="C19" s="40"/>
      <c r="D19" s="41"/>
      <c r="E19" s="40"/>
      <c r="F19" s="41"/>
      <c r="G19" s="40"/>
      <c r="H19" s="41"/>
      <c r="I19" s="40"/>
      <c r="J19" s="41"/>
      <c r="K19" s="40"/>
      <c r="L19" s="41"/>
      <c r="M19" s="40"/>
      <c r="N19" s="41"/>
      <c r="O19" s="40"/>
      <c r="P19" s="41"/>
      <c r="Q19" s="40"/>
      <c r="R19" s="46"/>
      <c r="S19" s="40"/>
      <c r="T19" s="46"/>
      <c r="U19" s="47">
        <f>C19+E19+G19+I19+K19+M19+O19+Q19+S19</f>
        <v>0</v>
      </c>
      <c r="V19" s="47">
        <f>D19+F19+H19+J19+L19+N19+P19+R19+T19</f>
        <v>0</v>
      </c>
      <c r="W19" s="618">
        <f>+V19+U19</f>
        <v>0</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4.1" customHeight="1">
      <c r="A20" s="829" t="s">
        <v>114</v>
      </c>
      <c r="B20" s="822"/>
      <c r="C20" s="136"/>
      <c r="D20" s="136"/>
      <c r="E20" s="136"/>
      <c r="F20" s="136"/>
      <c r="G20" s="136"/>
      <c r="H20" s="136"/>
      <c r="I20" s="136"/>
      <c r="J20" s="136"/>
      <c r="K20" s="136"/>
      <c r="L20" s="136"/>
      <c r="M20" s="136"/>
      <c r="N20" s="136"/>
      <c r="O20" s="136"/>
      <c r="P20" s="136"/>
      <c r="Q20" s="136"/>
      <c r="R20" s="136"/>
      <c r="S20" s="136"/>
      <c r="T20" s="136"/>
      <c r="U20" s="821"/>
      <c r="V20" s="821"/>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4.1" customHeight="1">
      <c r="A21" s="825" t="s">
        <v>115</v>
      </c>
      <c r="B21" s="22" t="s">
        <v>116</v>
      </c>
      <c r="C21" s="40"/>
      <c r="D21" s="41"/>
      <c r="E21" s="40"/>
      <c r="F21" s="41"/>
      <c r="G21" s="40"/>
      <c r="H21" s="41"/>
      <c r="I21" s="40"/>
      <c r="J21" s="41"/>
      <c r="K21" s="40"/>
      <c r="L21" s="41"/>
      <c r="M21" s="40"/>
      <c r="N21" s="41"/>
      <c r="O21" s="40"/>
      <c r="P21" s="41"/>
      <c r="Q21" s="40"/>
      <c r="R21" s="46"/>
      <c r="S21" s="40"/>
      <c r="T21" s="46"/>
      <c r="U21" s="47">
        <f t="shared" ref="U21:V26" si="0">C21+E21+G21+I21+K21+M21+O21+Q21+S21</f>
        <v>0</v>
      </c>
      <c r="V21" s="47">
        <f t="shared" si="0"/>
        <v>0</v>
      </c>
      <c r="W21" s="49">
        <f t="shared" ref="W21:W26" si="1">+V21+U21</f>
        <v>0</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4.1" customHeight="1">
      <c r="A22" s="825" t="s">
        <v>117</v>
      </c>
      <c r="B22" s="22" t="s">
        <v>118</v>
      </c>
      <c r="C22" s="40"/>
      <c r="D22" s="41"/>
      <c r="E22" s="40"/>
      <c r="F22" s="41"/>
      <c r="G22" s="40"/>
      <c r="H22" s="41"/>
      <c r="I22" s="40"/>
      <c r="J22" s="41"/>
      <c r="K22" s="40"/>
      <c r="L22" s="41"/>
      <c r="M22" s="40"/>
      <c r="N22" s="41"/>
      <c r="O22" s="40"/>
      <c r="P22" s="41"/>
      <c r="Q22" s="40"/>
      <c r="R22" s="46"/>
      <c r="S22" s="40"/>
      <c r="T22" s="46"/>
      <c r="U22" s="47">
        <f t="shared" si="0"/>
        <v>0</v>
      </c>
      <c r="V22" s="47">
        <f t="shared" si="0"/>
        <v>0</v>
      </c>
      <c r="W22" s="44">
        <f t="shared" si="1"/>
        <v>0</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4.1" customHeight="1">
      <c r="A23" s="825" t="s">
        <v>119</v>
      </c>
      <c r="B23" s="22" t="s">
        <v>120</v>
      </c>
      <c r="C23" s="40"/>
      <c r="D23" s="41"/>
      <c r="E23" s="40"/>
      <c r="F23" s="41"/>
      <c r="G23" s="40"/>
      <c r="H23" s="41"/>
      <c r="I23" s="40"/>
      <c r="J23" s="41"/>
      <c r="K23" s="40"/>
      <c r="L23" s="41"/>
      <c r="M23" s="40"/>
      <c r="N23" s="41"/>
      <c r="O23" s="40"/>
      <c r="P23" s="41"/>
      <c r="Q23" s="40"/>
      <c r="R23" s="46"/>
      <c r="S23" s="40"/>
      <c r="T23" s="46"/>
      <c r="U23" s="47">
        <f t="shared" si="0"/>
        <v>0</v>
      </c>
      <c r="V23" s="47">
        <f t="shared" si="0"/>
        <v>0</v>
      </c>
      <c r="W23" s="44">
        <f t="shared" si="1"/>
        <v>0</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4.1" customHeight="1">
      <c r="A24" s="825" t="s">
        <v>121</v>
      </c>
      <c r="B24" s="22" t="s">
        <v>122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7" t="s">
        <v>123</v>
      </c>
      <c r="B25" s="22" t="s">
        <v>124</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50" t="s">
        <v>125</v>
      </c>
      <c r="B26" s="551" t="s">
        <v>126</v>
      </c>
      <c r="C26" s="552">
        <f t="shared" ref="C26:P26" si="2">SUM(C18:C25)</f>
        <v>0</v>
      </c>
      <c r="D26" s="552">
        <f t="shared" si="2"/>
        <v>0</v>
      </c>
      <c r="E26" s="552">
        <f t="shared" si="2"/>
        <v>0</v>
      </c>
      <c r="F26" s="552">
        <f t="shared" si="2"/>
        <v>0</v>
      </c>
      <c r="G26" s="552">
        <f t="shared" si="2"/>
        <v>0</v>
      </c>
      <c r="H26" s="552">
        <f t="shared" si="2"/>
        <v>0</v>
      </c>
      <c r="I26" s="552">
        <f t="shared" si="2"/>
        <v>0</v>
      </c>
      <c r="J26" s="552">
        <f t="shared" si="2"/>
        <v>0</v>
      </c>
      <c r="K26" s="552">
        <f t="shared" si="2"/>
        <v>0</v>
      </c>
      <c r="L26" s="552">
        <f t="shared" si="2"/>
        <v>0</v>
      </c>
      <c r="M26" s="552">
        <f t="shared" si="2"/>
        <v>0</v>
      </c>
      <c r="N26" s="552">
        <f t="shared" si="2"/>
        <v>0</v>
      </c>
      <c r="O26" s="552">
        <f t="shared" si="2"/>
        <v>0</v>
      </c>
      <c r="P26" s="552">
        <f t="shared" si="2"/>
        <v>0</v>
      </c>
      <c r="Q26" s="552">
        <f>SUM(Q18:Q25)</f>
        <v>0</v>
      </c>
      <c r="R26" s="552">
        <f>SUM(R18:R25)</f>
        <v>0</v>
      </c>
      <c r="S26" s="552">
        <f>SUM(S18:S25)</f>
        <v>0</v>
      </c>
      <c r="T26" s="552">
        <f>SUM(T18:T25)</f>
        <v>0</v>
      </c>
      <c r="U26" s="552">
        <f t="shared" si="0"/>
        <v>0</v>
      </c>
      <c r="V26" s="552">
        <f t="shared" si="0"/>
        <v>0</v>
      </c>
      <c r="W26" s="553">
        <f t="shared" si="1"/>
        <v>0</v>
      </c>
      <c r="X26" s="608"/>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96" ht="18" hidden="1" customHeight="1" thickTop="1">
      <c r="A27" s="548" t="s">
        <v>127</v>
      </c>
      <c r="B27" s="239"/>
      <c r="C27" s="549"/>
      <c r="D27" s="549"/>
      <c r="E27" s="549"/>
      <c r="F27" s="549"/>
      <c r="G27" s="549"/>
      <c r="H27" s="549"/>
      <c r="I27" s="549"/>
      <c r="J27" s="549"/>
      <c r="K27" s="549"/>
      <c r="L27" s="549"/>
      <c r="M27" s="549"/>
      <c r="N27" s="549"/>
      <c r="O27" s="549"/>
      <c r="P27" s="549"/>
      <c r="Q27" s="549"/>
      <c r="R27" s="549"/>
      <c r="S27" s="549"/>
      <c r="T27" s="549"/>
      <c r="U27" s="371"/>
      <c r="V27" s="371"/>
      <c r="W27" s="485"/>
      <c r="X27" s="609"/>
    </row>
    <row r="28" spans="1:96" s="17" customFormat="1" ht="13.15" hidden="1">
      <c r="A28" s="38" t="s">
        <v>128</v>
      </c>
      <c r="B28" s="34" t="s">
        <v>129</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9" hidden="1" thickBot="1">
      <c r="A29" s="604" t="s">
        <v>130</v>
      </c>
      <c r="B29" s="605" t="s">
        <v>131</v>
      </c>
      <c r="C29" s="606"/>
      <c r="D29" s="607"/>
      <c r="E29" s="606"/>
      <c r="F29" s="607"/>
      <c r="G29" s="606"/>
      <c r="H29" s="607"/>
      <c r="I29" s="606"/>
      <c r="J29" s="607"/>
      <c r="K29" s="606"/>
      <c r="L29" s="607"/>
      <c r="M29" s="606"/>
      <c r="N29" s="607"/>
      <c r="O29" s="606"/>
      <c r="P29" s="607"/>
      <c r="Q29" s="607"/>
      <c r="R29" s="607"/>
      <c r="S29" s="607"/>
      <c r="T29" s="607"/>
      <c r="U29" s="299">
        <f>C29+E29+G29+I29+K29+M29+O29</f>
        <v>0</v>
      </c>
      <c r="V29" s="299">
        <f>D29+F29+H29+J29+L29+N29+P29</f>
        <v>0</v>
      </c>
      <c r="W29" s="297">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96" ht="18" thickTop="1">
      <c r="A30" s="548" t="s">
        <v>132</v>
      </c>
      <c r="B30" s="239"/>
      <c r="C30" s="549"/>
      <c r="D30" s="549"/>
      <c r="E30" s="549"/>
      <c r="F30" s="549"/>
      <c r="G30" s="549"/>
      <c r="H30" s="549"/>
      <c r="I30" s="549"/>
      <c r="J30" s="549"/>
      <c r="K30" s="549"/>
      <c r="L30" s="549"/>
      <c r="M30" s="549"/>
      <c r="N30" s="549"/>
      <c r="O30" s="549"/>
      <c r="P30" s="549"/>
      <c r="Q30" s="549"/>
      <c r="R30" s="549"/>
      <c r="S30" s="549"/>
      <c r="T30" s="549"/>
      <c r="U30" s="371"/>
      <c r="V30" s="371"/>
      <c r="W30" s="485"/>
    </row>
    <row r="31" spans="1:96" ht="13.15">
      <c r="A31" s="37" t="s">
        <v>133</v>
      </c>
      <c r="B31" s="242" t="s">
        <v>61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3.15">
      <c r="A32" s="538" t="s">
        <v>134</v>
      </c>
      <c r="B32" s="22" t="s">
        <v>135</v>
      </c>
      <c r="C32" s="40"/>
      <c r="D32" s="41"/>
      <c r="E32" s="40"/>
      <c r="F32" s="41"/>
      <c r="G32" s="40"/>
      <c r="H32" s="41"/>
      <c r="I32" s="40"/>
      <c r="J32" s="41"/>
      <c r="K32" s="40"/>
      <c r="L32" s="41"/>
      <c r="M32" s="40"/>
      <c r="N32" s="41"/>
      <c r="O32" s="40"/>
      <c r="P32" s="41"/>
      <c r="Q32" s="40"/>
      <c r="R32" s="46"/>
      <c r="S32" s="40"/>
      <c r="T32" s="46"/>
      <c r="U32" s="47">
        <f t="shared" ref="U32:V35" si="3">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3.15">
      <c r="A33" s="538" t="s">
        <v>136</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45">
      <c r="A34" s="547" t="s">
        <v>137</v>
      </c>
      <c r="B34" s="22" t="s">
        <v>138</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6" t="s">
        <v>139</v>
      </c>
      <c r="B35" s="24" t="s">
        <v>140</v>
      </c>
      <c r="C35" s="47">
        <f>SUM(C32:C34)</f>
        <v>0</v>
      </c>
      <c r="D35" s="47">
        <f t="shared" ref="D35:P35" si="4">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spans="1:96" ht="25.5" customHeight="1"/>
    <row r="37" spans="1:96" ht="15.6">
      <c r="A37" s="483" t="str">
        <f>+A42&amp;" PART A (Continued)"</f>
        <v>140000 PART A (Continued)</v>
      </c>
      <c r="B37" s="26" t="str">
        <f>A1</f>
        <v>FALL ENROLLMENT 2021</v>
      </c>
      <c r="C37" s="27"/>
      <c r="D37" s="27"/>
      <c r="E37" s="27"/>
      <c r="F37" s="27"/>
      <c r="G37" s="27"/>
      <c r="H37" s="27"/>
      <c r="I37" s="27"/>
      <c r="J37" s="27"/>
      <c r="K37" s="27"/>
      <c r="L37" s="27"/>
      <c r="M37" s="27"/>
      <c r="N37" s="27"/>
      <c r="O37" s="27"/>
      <c r="P37" s="27"/>
      <c r="Q37" s="27"/>
      <c r="R37" s="27"/>
      <c r="S37" s="27"/>
      <c r="T37" s="27"/>
      <c r="U37" s="13" t="s">
        <v>61</v>
      </c>
    </row>
    <row r="38" spans="1:96" ht="15.6">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3.15">
      <c r="A39" s="28" t="s">
        <v>61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96">
      <c r="A40" s="984" t="str">
        <f>+A10</f>
        <v>ENGINEERING</v>
      </c>
      <c r="B40" s="36"/>
      <c r="C40" s="991" t="s">
        <v>54</v>
      </c>
      <c r="D40" s="992"/>
      <c r="E40" s="991" t="s">
        <v>55</v>
      </c>
      <c r="F40" s="992"/>
      <c r="G40" s="991" t="s">
        <v>56</v>
      </c>
      <c r="H40" s="992"/>
      <c r="I40" s="991"/>
      <c r="J40" s="992"/>
      <c r="K40" s="991" t="s">
        <v>57</v>
      </c>
      <c r="L40" s="992"/>
      <c r="M40" s="991"/>
      <c r="N40" s="992"/>
      <c r="O40" s="991" t="s">
        <v>58</v>
      </c>
      <c r="P40" s="992"/>
      <c r="Q40" s="991" t="s">
        <v>59</v>
      </c>
      <c r="R40" s="992"/>
      <c r="S40" s="991" t="s">
        <v>60</v>
      </c>
      <c r="T40" s="992"/>
      <c r="U40" s="59" t="s">
        <v>61</v>
      </c>
      <c r="V40" s="60"/>
      <c r="W40" s="61"/>
    </row>
    <row r="41" spans="1:96" ht="12.75" customHeight="1">
      <c r="A41" s="985"/>
      <c r="B41" s="20"/>
      <c r="C41" s="993" t="s">
        <v>62</v>
      </c>
      <c r="D41" s="994"/>
      <c r="E41" s="993" t="s">
        <v>63</v>
      </c>
      <c r="F41" s="994"/>
      <c r="G41" s="993" t="s">
        <v>64</v>
      </c>
      <c r="H41" s="994"/>
      <c r="I41" s="993" t="s">
        <v>65</v>
      </c>
      <c r="J41" s="994"/>
      <c r="K41" s="993" t="s">
        <v>66</v>
      </c>
      <c r="L41" s="994"/>
      <c r="M41" s="993" t="s">
        <v>67</v>
      </c>
      <c r="N41" s="994"/>
      <c r="O41" s="993" t="s">
        <v>68</v>
      </c>
      <c r="P41" s="994"/>
      <c r="Q41" s="993" t="s">
        <v>69</v>
      </c>
      <c r="R41" s="994"/>
      <c r="S41" s="993" t="s">
        <v>70</v>
      </c>
      <c r="T41" s="994"/>
      <c r="U41" s="62" t="s">
        <v>71</v>
      </c>
      <c r="V41" s="63"/>
      <c r="W41" s="64"/>
    </row>
    <row r="42" spans="1:96" s="17" customFormat="1">
      <c r="A42" s="986" t="str">
        <f>+A12</f>
        <v>140000</v>
      </c>
      <c r="B42" s="20"/>
      <c r="C42" s="995" t="s">
        <v>73</v>
      </c>
      <c r="D42" s="996"/>
      <c r="E42" s="995" t="s">
        <v>56</v>
      </c>
      <c r="F42" s="996"/>
      <c r="G42" s="995" t="s">
        <v>74</v>
      </c>
      <c r="H42" s="996"/>
      <c r="I42" s="995"/>
      <c r="J42" s="996"/>
      <c r="K42" s="995" t="s">
        <v>75</v>
      </c>
      <c r="L42" s="996"/>
      <c r="M42" s="995"/>
      <c r="N42" s="996"/>
      <c r="O42" s="995" t="s">
        <v>76</v>
      </c>
      <c r="P42" s="996"/>
      <c r="Q42" s="995" t="s">
        <v>77</v>
      </c>
      <c r="R42" s="996"/>
      <c r="S42" s="995" t="s">
        <v>78</v>
      </c>
      <c r="T42" s="996"/>
      <c r="U42" s="65" t="s">
        <v>79</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96" ht="15" customHeight="1">
      <c r="A43" s="1153"/>
      <c r="B43" s="20" t="s">
        <v>80</v>
      </c>
      <c r="C43" s="68" t="s">
        <v>81</v>
      </c>
      <c r="D43" s="23" t="s">
        <v>82</v>
      </c>
      <c r="E43" s="68" t="s">
        <v>81</v>
      </c>
      <c r="F43" s="23" t="s">
        <v>82</v>
      </c>
      <c r="G43" s="68" t="s">
        <v>81</v>
      </c>
      <c r="H43" s="23" t="s">
        <v>82</v>
      </c>
      <c r="I43" s="68" t="s">
        <v>81</v>
      </c>
      <c r="J43" s="23" t="s">
        <v>82</v>
      </c>
      <c r="K43" s="68" t="s">
        <v>81</v>
      </c>
      <c r="L43" s="23" t="s">
        <v>82</v>
      </c>
      <c r="M43" s="68" t="s">
        <v>81</v>
      </c>
      <c r="N43" s="23" t="s">
        <v>82</v>
      </c>
      <c r="O43" s="68" t="s">
        <v>81</v>
      </c>
      <c r="P43" s="23" t="s">
        <v>82</v>
      </c>
      <c r="Q43" s="68" t="s">
        <v>81</v>
      </c>
      <c r="R43" s="23" t="s">
        <v>82</v>
      </c>
      <c r="S43" s="68" t="s">
        <v>81</v>
      </c>
      <c r="T43" s="23" t="s">
        <v>82</v>
      </c>
      <c r="U43" s="69" t="s">
        <v>81</v>
      </c>
      <c r="V43" s="21" t="s">
        <v>82</v>
      </c>
      <c r="W43" s="21" t="s">
        <v>83</v>
      </c>
    </row>
    <row r="44" spans="1:96" s="17" customFormat="1" ht="13.15">
      <c r="A44" s="602" t="s">
        <v>84</v>
      </c>
      <c r="B44" s="19" t="s">
        <v>85</v>
      </c>
      <c r="C44" s="70" t="s">
        <v>86</v>
      </c>
      <c r="D44" s="70" t="s">
        <v>87</v>
      </c>
      <c r="E44" s="70" t="s">
        <v>88</v>
      </c>
      <c r="F44" s="70" t="s">
        <v>89</v>
      </c>
      <c r="G44" s="70" t="s">
        <v>90</v>
      </c>
      <c r="H44" s="70" t="s">
        <v>91</v>
      </c>
      <c r="I44" s="70" t="s">
        <v>92</v>
      </c>
      <c r="J44" s="70" t="s">
        <v>93</v>
      </c>
      <c r="K44" s="70" t="s">
        <v>94</v>
      </c>
      <c r="L44" s="70" t="s">
        <v>95</v>
      </c>
      <c r="M44" s="70" t="s">
        <v>96</v>
      </c>
      <c r="N44" s="70" t="s">
        <v>97</v>
      </c>
      <c r="O44" s="70" t="s">
        <v>98</v>
      </c>
      <c r="P44" s="70" t="s">
        <v>99</v>
      </c>
      <c r="Q44" s="70" t="s">
        <v>100</v>
      </c>
      <c r="R44" s="70" t="s">
        <v>101</v>
      </c>
      <c r="S44" s="70" t="s">
        <v>102</v>
      </c>
      <c r="T44" s="70" t="s">
        <v>103</v>
      </c>
      <c r="U44" s="71" t="s">
        <v>104</v>
      </c>
      <c r="V44" s="71" t="s">
        <v>105</v>
      </c>
      <c r="W44" s="71" t="s">
        <v>106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9">
      <c r="A45" s="987" t="s">
        <v>141</v>
      </c>
      <c r="B45" s="988"/>
      <c r="C45" s="988"/>
      <c r="D45" s="988"/>
      <c r="E45" s="988"/>
      <c r="F45" s="988"/>
      <c r="G45" s="988"/>
      <c r="H45" s="988"/>
      <c r="I45" s="988"/>
      <c r="J45" s="988"/>
      <c r="K45" s="988"/>
      <c r="L45" s="988"/>
      <c r="M45" s="988"/>
      <c r="N45" s="988"/>
      <c r="O45" s="988"/>
      <c r="P45" s="988"/>
      <c r="Q45" s="988"/>
      <c r="R45" s="988"/>
      <c r="S45" s="988"/>
      <c r="T45" s="988"/>
      <c r="U45" s="988"/>
      <c r="V45" s="988"/>
      <c r="W45" s="98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96" ht="17.45">
      <c r="A46" s="548" t="s">
        <v>108</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96" ht="13.15">
      <c r="A47" s="37" t="s">
        <v>109</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3.15">
      <c r="A48" s="823" t="s">
        <v>110</v>
      </c>
      <c r="B48" s="34">
        <v>15</v>
      </c>
      <c r="C48" s="40"/>
      <c r="D48" s="41"/>
      <c r="E48" s="40"/>
      <c r="F48" s="41"/>
      <c r="G48" s="40"/>
      <c r="H48" s="41"/>
      <c r="I48" s="40"/>
      <c r="J48" s="41"/>
      <c r="K48" s="40"/>
      <c r="L48" s="41"/>
      <c r="M48" s="40"/>
      <c r="N48" s="41"/>
      <c r="O48" s="40"/>
      <c r="P48" s="41"/>
      <c r="Q48" s="40"/>
      <c r="R48" s="46"/>
      <c r="S48" s="40"/>
      <c r="T48" s="46"/>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3.15">
      <c r="A49" s="824" t="s">
        <v>112</v>
      </c>
      <c r="B49" s="22" t="s">
        <v>142</v>
      </c>
      <c r="C49" s="40"/>
      <c r="D49" s="41"/>
      <c r="E49" s="40"/>
      <c r="F49" s="41"/>
      <c r="G49" s="40"/>
      <c r="H49" s="41"/>
      <c r="I49" s="40"/>
      <c r="J49" s="41"/>
      <c r="K49" s="40"/>
      <c r="L49" s="41"/>
      <c r="M49" s="40"/>
      <c r="N49" s="41"/>
      <c r="O49" s="40"/>
      <c r="P49" s="41"/>
      <c r="Q49" s="40"/>
      <c r="R49" s="46"/>
      <c r="S49" s="40"/>
      <c r="T49" s="46"/>
      <c r="U49" s="47">
        <f>C49+E49+G49+I49+K49+M49+O49+Q49+S49</f>
        <v>0</v>
      </c>
      <c r="V49" s="47">
        <f>D49+F49+H49+J49+L49+N49+P49+R49+T49</f>
        <v>0</v>
      </c>
      <c r="W49" s="44">
        <f>+V49+U49</f>
        <v>0</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9">
      <c r="A50" s="829" t="s">
        <v>143</v>
      </c>
      <c r="B50" s="822"/>
      <c r="C50" s="826"/>
      <c r="D50" s="826"/>
      <c r="E50" s="826"/>
      <c r="F50" s="826"/>
      <c r="G50" s="826"/>
      <c r="H50" s="826"/>
      <c r="I50" s="826"/>
      <c r="J50" s="826"/>
      <c r="K50" s="826"/>
      <c r="L50" s="826"/>
      <c r="M50" s="826"/>
      <c r="N50" s="826"/>
      <c r="O50" s="826"/>
      <c r="P50" s="826"/>
      <c r="Q50" s="826"/>
      <c r="R50" s="826"/>
      <c r="S50" s="826"/>
      <c r="T50" s="826"/>
      <c r="U50" s="821"/>
      <c r="V50" s="821"/>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3.15">
      <c r="A51" s="825" t="s">
        <v>115</v>
      </c>
      <c r="B51" s="22" t="s">
        <v>144</v>
      </c>
      <c r="C51" s="40"/>
      <c r="D51" s="41"/>
      <c r="E51" s="40"/>
      <c r="F51" s="41"/>
      <c r="G51" s="40"/>
      <c r="H51" s="41"/>
      <c r="I51" s="40"/>
      <c r="J51" s="41"/>
      <c r="K51" s="40"/>
      <c r="L51" s="41"/>
      <c r="M51" s="40"/>
      <c r="N51" s="41"/>
      <c r="O51" s="40"/>
      <c r="P51" s="41"/>
      <c r="Q51" s="40"/>
      <c r="R51" s="46"/>
      <c r="S51" s="40"/>
      <c r="T51" s="46"/>
      <c r="U51" s="47">
        <f t="shared" ref="U51:V56" si="5">C51+E51+G51+I51+K51+M51+O51+Q51+S51</f>
        <v>0</v>
      </c>
      <c r="V51" s="47">
        <f t="shared" si="5"/>
        <v>0</v>
      </c>
      <c r="W51" s="44">
        <f t="shared" ref="W51:W56" si="6">+V51+U51</f>
        <v>0</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3.15">
      <c r="A52" s="825" t="s">
        <v>117</v>
      </c>
      <c r="B52" s="22" t="s">
        <v>145</v>
      </c>
      <c r="C52" s="40"/>
      <c r="D52" s="41"/>
      <c r="E52" s="40"/>
      <c r="F52" s="41"/>
      <c r="G52" s="40"/>
      <c r="H52" s="41"/>
      <c r="I52" s="40"/>
      <c r="J52" s="41"/>
      <c r="K52" s="40"/>
      <c r="L52" s="41"/>
      <c r="M52" s="40"/>
      <c r="N52" s="41"/>
      <c r="O52" s="40"/>
      <c r="P52" s="41"/>
      <c r="Q52" s="40"/>
      <c r="R52" s="46"/>
      <c r="S52" s="40"/>
      <c r="T52" s="46"/>
      <c r="U52" s="47">
        <f t="shared" si="5"/>
        <v>0</v>
      </c>
      <c r="V52" s="47">
        <f t="shared" si="5"/>
        <v>0</v>
      </c>
      <c r="W52" s="44">
        <f t="shared" si="6"/>
        <v>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3.15">
      <c r="A53" s="825" t="s">
        <v>119</v>
      </c>
      <c r="B53" s="22" t="s">
        <v>146</v>
      </c>
      <c r="C53" s="40"/>
      <c r="D53" s="41"/>
      <c r="E53" s="40"/>
      <c r="F53" s="41"/>
      <c r="G53" s="40"/>
      <c r="H53" s="41"/>
      <c r="I53" s="40"/>
      <c r="J53" s="41"/>
      <c r="K53" s="40"/>
      <c r="L53" s="41"/>
      <c r="M53" s="40"/>
      <c r="N53" s="41"/>
      <c r="O53" s="40"/>
      <c r="P53" s="41"/>
      <c r="Q53" s="40"/>
      <c r="R53" s="46"/>
      <c r="S53" s="40"/>
      <c r="T53" s="46"/>
      <c r="U53" s="47">
        <f t="shared" si="5"/>
        <v>0</v>
      </c>
      <c r="V53" s="47">
        <f t="shared" si="5"/>
        <v>0</v>
      </c>
      <c r="W53" s="44">
        <f t="shared" si="6"/>
        <v>0</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3.15">
      <c r="A54" s="825" t="s">
        <v>121</v>
      </c>
      <c r="B54" s="22" t="s">
        <v>147</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45">
      <c r="A55" s="547" t="s">
        <v>123</v>
      </c>
      <c r="B55" s="22" t="s">
        <v>148</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50" t="s">
        <v>149</v>
      </c>
      <c r="B56" s="551" t="s">
        <v>150</v>
      </c>
      <c r="C56" s="560">
        <f t="shared" ref="C56:P56" si="7">SUM(C48:C55)</f>
        <v>0</v>
      </c>
      <c r="D56" s="560">
        <f t="shared" si="7"/>
        <v>0</v>
      </c>
      <c r="E56" s="560">
        <f t="shared" si="7"/>
        <v>0</v>
      </c>
      <c r="F56" s="560">
        <f t="shared" si="7"/>
        <v>0</v>
      </c>
      <c r="G56" s="560">
        <f t="shared" si="7"/>
        <v>0</v>
      </c>
      <c r="H56" s="560">
        <f t="shared" si="7"/>
        <v>0</v>
      </c>
      <c r="I56" s="560">
        <f t="shared" si="7"/>
        <v>0</v>
      </c>
      <c r="J56" s="560">
        <f t="shared" si="7"/>
        <v>0</v>
      </c>
      <c r="K56" s="560">
        <f t="shared" si="7"/>
        <v>0</v>
      </c>
      <c r="L56" s="560">
        <f t="shared" si="7"/>
        <v>0</v>
      </c>
      <c r="M56" s="560">
        <f t="shared" si="7"/>
        <v>0</v>
      </c>
      <c r="N56" s="560">
        <f t="shared" si="7"/>
        <v>0</v>
      </c>
      <c r="O56" s="560">
        <f t="shared" si="7"/>
        <v>0</v>
      </c>
      <c r="P56" s="560">
        <f t="shared" si="7"/>
        <v>0</v>
      </c>
      <c r="Q56" s="560">
        <f>SUM(Q48:Q55)</f>
        <v>0</v>
      </c>
      <c r="R56" s="560">
        <f>SUM(R48:R55)</f>
        <v>0</v>
      </c>
      <c r="S56" s="560">
        <f>SUM(S48:S55)</f>
        <v>0</v>
      </c>
      <c r="T56" s="560">
        <f>SUM(T48:T55)</f>
        <v>0</v>
      </c>
      <c r="U56" s="552">
        <f t="shared" si="5"/>
        <v>0</v>
      </c>
      <c r="V56" s="552">
        <f t="shared" si="5"/>
        <v>0</v>
      </c>
      <c r="W56" s="553">
        <f t="shared" si="6"/>
        <v>0</v>
      </c>
      <c r="X56" s="608"/>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96" ht="21.75" hidden="1" customHeight="1" thickTop="1">
      <c r="A57" s="548" t="s">
        <v>127</v>
      </c>
      <c r="B57" s="239"/>
      <c r="C57" s="549"/>
      <c r="D57" s="549"/>
      <c r="E57" s="549"/>
      <c r="F57" s="549"/>
      <c r="G57" s="549"/>
      <c r="H57" s="549"/>
      <c r="I57" s="549"/>
      <c r="J57" s="549"/>
      <c r="K57" s="549"/>
      <c r="L57" s="549"/>
      <c r="M57" s="549"/>
      <c r="N57" s="549"/>
      <c r="O57" s="549"/>
      <c r="P57" s="549"/>
      <c r="Q57" s="549"/>
      <c r="R57" s="549"/>
      <c r="S57" s="549"/>
      <c r="T57" s="549"/>
      <c r="U57" s="371"/>
      <c r="V57" s="371"/>
      <c r="W57" s="484"/>
      <c r="X57" s="609"/>
    </row>
    <row r="58" spans="1:96" s="17" customFormat="1" ht="13.15" hidden="1">
      <c r="A58" s="38" t="s">
        <v>128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9" hidden="1" thickBot="1">
      <c r="A59" s="604" t="s">
        <v>130</v>
      </c>
      <c r="B59" s="605">
        <v>24</v>
      </c>
      <c r="C59" s="610"/>
      <c r="D59" s="611"/>
      <c r="E59" s="610"/>
      <c r="F59" s="611"/>
      <c r="G59" s="610"/>
      <c r="H59" s="611"/>
      <c r="I59" s="610"/>
      <c r="J59" s="611"/>
      <c r="K59" s="610"/>
      <c r="L59" s="611"/>
      <c r="M59" s="610"/>
      <c r="N59" s="611"/>
      <c r="O59" s="610"/>
      <c r="P59" s="611"/>
      <c r="Q59" s="611"/>
      <c r="R59" s="611"/>
      <c r="S59" s="611"/>
      <c r="T59" s="611"/>
      <c r="U59" s="297">
        <f>C59+E59+G59+I59+K59+M59+O59</f>
        <v>0</v>
      </c>
      <c r="V59" s="297">
        <f>D59+F59+H59+J59+L59+N59+P59</f>
        <v>0</v>
      </c>
      <c r="W59" s="297">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96" ht="18" thickTop="1">
      <c r="A60" s="548" t="s">
        <v>132</v>
      </c>
      <c r="B60" s="239"/>
      <c r="C60" s="549"/>
      <c r="D60" s="549"/>
      <c r="E60" s="549"/>
      <c r="F60" s="549"/>
      <c r="G60" s="549"/>
      <c r="H60" s="549"/>
      <c r="I60" s="549"/>
      <c r="J60" s="549"/>
      <c r="K60" s="549"/>
      <c r="L60" s="549"/>
      <c r="M60" s="549"/>
      <c r="N60" s="549"/>
      <c r="O60" s="549"/>
      <c r="P60" s="549"/>
      <c r="Q60" s="549"/>
      <c r="R60" s="549"/>
      <c r="S60" s="549"/>
      <c r="T60" s="549"/>
      <c r="U60" s="371"/>
      <c r="V60" s="371"/>
      <c r="W60" s="485"/>
    </row>
    <row r="61" spans="1:96" ht="13.15">
      <c r="A61" s="37" t="s">
        <v>133</v>
      </c>
      <c r="B61" s="242" t="s">
        <v>61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3.15">
      <c r="A62" s="538" t="s">
        <v>134</v>
      </c>
      <c r="B62" s="22" t="s">
        <v>151</v>
      </c>
      <c r="C62" s="40"/>
      <c r="D62" s="41"/>
      <c r="E62" s="40"/>
      <c r="F62" s="41"/>
      <c r="G62" s="40"/>
      <c r="H62" s="41"/>
      <c r="I62" s="40"/>
      <c r="J62" s="41"/>
      <c r="K62" s="40"/>
      <c r="L62" s="41"/>
      <c r="M62" s="40"/>
      <c r="N62" s="41"/>
      <c r="O62" s="40"/>
      <c r="P62" s="41"/>
      <c r="Q62" s="40"/>
      <c r="R62" s="46"/>
      <c r="S62" s="40"/>
      <c r="T62" s="46"/>
      <c r="U62" s="47">
        <f t="shared" ref="U62:V65" si="8">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3.15">
      <c r="A63" s="538" t="s">
        <v>136</v>
      </c>
      <c r="B63" s="34" t="s">
        <v>152</v>
      </c>
      <c r="C63" s="40"/>
      <c r="D63" s="41"/>
      <c r="E63" s="40"/>
      <c r="F63" s="41"/>
      <c r="G63" s="40"/>
      <c r="H63" s="41"/>
      <c r="I63" s="40"/>
      <c r="J63" s="41"/>
      <c r="K63" s="40"/>
      <c r="L63" s="41"/>
      <c r="M63" s="40"/>
      <c r="N63" s="41"/>
      <c r="O63" s="40"/>
      <c r="P63" s="41"/>
      <c r="Q63" s="40"/>
      <c r="R63" s="46"/>
      <c r="S63" s="40"/>
      <c r="T63" s="46"/>
      <c r="U63" s="47">
        <f t="shared" si="8"/>
        <v>0</v>
      </c>
      <c r="V63" s="47">
        <f t="shared" si="8"/>
        <v>0</v>
      </c>
      <c r="W63" s="44">
        <f>+V63+U63</f>
        <v>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45">
      <c r="A64" s="547" t="s">
        <v>137</v>
      </c>
      <c r="B64" s="22" t="s">
        <v>153</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7" t="s">
        <v>154</v>
      </c>
      <c r="B65" s="35" t="s">
        <v>155</v>
      </c>
      <c r="C65" s="47">
        <f t="shared" ref="C65:P65" si="9">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0</v>
      </c>
      <c r="M65" s="47">
        <f t="shared" si="9"/>
        <v>0</v>
      </c>
      <c r="N65" s="47">
        <f t="shared" si="9"/>
        <v>0</v>
      </c>
      <c r="O65" s="47">
        <f t="shared" si="9"/>
        <v>0</v>
      </c>
      <c r="P65" s="47">
        <f t="shared" si="9"/>
        <v>0</v>
      </c>
      <c r="Q65" s="47">
        <f>SUM(Q62:Q64)</f>
        <v>0</v>
      </c>
      <c r="R65" s="47">
        <f>SUM(R62:R64)</f>
        <v>0</v>
      </c>
      <c r="S65" s="47">
        <f>SUM(S62:S64)</f>
        <v>0</v>
      </c>
      <c r="T65" s="47">
        <f>SUM(T62:T64)</f>
        <v>0</v>
      </c>
      <c r="U65" s="552">
        <f t="shared" si="8"/>
        <v>0</v>
      </c>
      <c r="V65" s="552">
        <f t="shared" si="8"/>
        <v>0</v>
      </c>
      <c r="W65" s="51">
        <f>U65+V65</f>
        <v>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96" s="29" customFormat="1" ht="32.25" customHeight="1" thickTop="1">
      <c r="A66" s="554" t="s">
        <v>156</v>
      </c>
      <c r="B66" s="555" t="s">
        <v>157</v>
      </c>
      <c r="C66" s="556">
        <f t="shared" ref="C66:V66" si="10">C65+C56+C35+C26</f>
        <v>0</v>
      </c>
      <c r="D66" s="556">
        <f t="shared" si="10"/>
        <v>0</v>
      </c>
      <c r="E66" s="556">
        <f t="shared" si="10"/>
        <v>0</v>
      </c>
      <c r="F66" s="556">
        <f t="shared" si="10"/>
        <v>0</v>
      </c>
      <c r="G66" s="556">
        <f t="shared" si="10"/>
        <v>0</v>
      </c>
      <c r="H66" s="556">
        <f t="shared" si="10"/>
        <v>0</v>
      </c>
      <c r="I66" s="556">
        <f t="shared" si="10"/>
        <v>0</v>
      </c>
      <c r="J66" s="556">
        <f t="shared" si="10"/>
        <v>0</v>
      </c>
      <c r="K66" s="556">
        <f t="shared" si="10"/>
        <v>0</v>
      </c>
      <c r="L66" s="556">
        <f t="shared" si="10"/>
        <v>0</v>
      </c>
      <c r="M66" s="556">
        <f t="shared" si="10"/>
        <v>0</v>
      </c>
      <c r="N66" s="556">
        <f t="shared" si="10"/>
        <v>0</v>
      </c>
      <c r="O66" s="556">
        <f t="shared" si="10"/>
        <v>0</v>
      </c>
      <c r="P66" s="556">
        <f t="shared" si="10"/>
        <v>0</v>
      </c>
      <c r="Q66" s="556">
        <f>Q65+Q56+Q35+Q26</f>
        <v>0</v>
      </c>
      <c r="R66" s="556">
        <f>R65+R56+R35+R26</f>
        <v>0</v>
      </c>
      <c r="S66" s="556">
        <f>S65+S56+S35+S26</f>
        <v>0</v>
      </c>
      <c r="T66" s="556">
        <f>T65+T56+T35+T26</f>
        <v>0</v>
      </c>
      <c r="U66" s="556">
        <f t="shared" si="10"/>
        <v>0</v>
      </c>
      <c r="V66" s="556">
        <f t="shared" si="10"/>
        <v>0</v>
      </c>
      <c r="W66" s="557">
        <f>U66+V66</f>
        <v>0</v>
      </c>
      <c r="X66" s="39"/>
    </row>
    <row r="67" spans="1:96" ht="24.75" customHeight="1"/>
    <row r="68" spans="1:96" ht="15.6">
      <c r="A68"/>
      <c r="B68"/>
      <c r="C68"/>
      <c r="D68"/>
      <c r="E68"/>
      <c r="F68"/>
      <c r="G68"/>
      <c r="H68"/>
      <c r="I68"/>
      <c r="J68"/>
      <c r="K68"/>
      <c r="L68"/>
      <c r="M68"/>
      <c r="N68"/>
      <c r="O68"/>
      <c r="P68"/>
      <c r="Q68"/>
      <c r="R68"/>
      <c r="S68"/>
      <c r="T68"/>
      <c r="U68"/>
      <c r="V68"/>
      <c r="W68"/>
    </row>
    <row r="69" spans="1:96" ht="15.6">
      <c r="A69"/>
      <c r="B69"/>
      <c r="C69"/>
      <c r="D69"/>
      <c r="E69"/>
      <c r="F69"/>
      <c r="G69"/>
      <c r="H69"/>
      <c r="I69"/>
      <c r="J69"/>
      <c r="K69"/>
      <c r="L69"/>
      <c r="M69"/>
      <c r="N69"/>
      <c r="O69"/>
      <c r="P69"/>
      <c r="Q69"/>
      <c r="R69"/>
      <c r="S69"/>
      <c r="T69"/>
      <c r="U69"/>
      <c r="V69"/>
      <c r="W69"/>
    </row>
    <row r="70" spans="1:96" ht="15.6">
      <c r="A70"/>
      <c r="B70"/>
      <c r="C70"/>
      <c r="D70"/>
      <c r="E70"/>
      <c r="F70"/>
      <c r="G70"/>
      <c r="H70"/>
      <c r="I70"/>
      <c r="J70"/>
      <c r="K70"/>
      <c r="L70"/>
      <c r="M70"/>
      <c r="N70"/>
      <c r="O70"/>
      <c r="P70"/>
      <c r="Q70"/>
      <c r="R70"/>
      <c r="S70"/>
      <c r="T70"/>
      <c r="U70"/>
      <c r="V70"/>
      <c r="W70"/>
    </row>
    <row r="71" spans="1:96" ht="15.6">
      <c r="A71"/>
      <c r="B71"/>
      <c r="C71"/>
      <c r="D71"/>
      <c r="E71"/>
      <c r="F71"/>
      <c r="G71"/>
      <c r="H71"/>
      <c r="I71"/>
      <c r="J71"/>
      <c r="K71"/>
      <c r="L71"/>
      <c r="M71"/>
      <c r="N71"/>
      <c r="O71"/>
      <c r="P71"/>
      <c r="Q71"/>
      <c r="R71"/>
      <c r="S71"/>
      <c r="T71"/>
      <c r="U71"/>
      <c r="V71"/>
      <c r="W71"/>
    </row>
    <row r="72" spans="1:96" ht="15.6">
      <c r="A72"/>
      <c r="B72"/>
      <c r="C72"/>
      <c r="D72"/>
      <c r="E72"/>
      <c r="F72"/>
      <c r="G72"/>
      <c r="H72"/>
      <c r="I72"/>
      <c r="J72"/>
      <c r="K72"/>
      <c r="L72"/>
      <c r="M72"/>
      <c r="N72"/>
      <c r="O72"/>
      <c r="P72"/>
      <c r="Q72"/>
      <c r="R72"/>
      <c r="S72"/>
      <c r="T72"/>
      <c r="U72"/>
      <c r="V72"/>
      <c r="W72"/>
    </row>
    <row r="73" spans="1:96" ht="15.6">
      <c r="A73"/>
      <c r="B73"/>
      <c r="C73"/>
      <c r="D73"/>
      <c r="E73"/>
      <c r="F73"/>
      <c r="G73"/>
      <c r="H73"/>
      <c r="I73"/>
      <c r="J73"/>
      <c r="K73"/>
      <c r="L73"/>
      <c r="M73"/>
      <c r="N73"/>
      <c r="O73"/>
      <c r="P73"/>
      <c r="Q73"/>
      <c r="R73"/>
      <c r="S73"/>
      <c r="T73"/>
      <c r="U73"/>
      <c r="V73"/>
      <c r="W73"/>
    </row>
    <row r="74" spans="1:96" ht="15.6">
      <c r="A74"/>
      <c r="B74"/>
      <c r="C74"/>
      <c r="D74"/>
      <c r="E74"/>
      <c r="F74"/>
      <c r="G74"/>
      <c r="H74"/>
      <c r="I74"/>
      <c r="J74"/>
      <c r="K74"/>
      <c r="L74"/>
      <c r="M74"/>
      <c r="N74"/>
      <c r="O74"/>
      <c r="P74"/>
      <c r="Q74"/>
      <c r="R74"/>
      <c r="S74"/>
      <c r="T74"/>
      <c r="U74"/>
      <c r="V74"/>
      <c r="W74"/>
    </row>
    <row r="75" spans="1:96" ht="15.6">
      <c r="A75"/>
      <c r="B75"/>
      <c r="C75"/>
      <c r="D75"/>
      <c r="E75"/>
      <c r="F75"/>
      <c r="G75"/>
      <c r="H75"/>
      <c r="I75"/>
      <c r="J75"/>
      <c r="K75"/>
      <c r="L75"/>
      <c r="M75"/>
      <c r="N75"/>
      <c r="O75"/>
      <c r="P75"/>
      <c r="Q75"/>
      <c r="R75"/>
      <c r="S75"/>
      <c r="T75"/>
      <c r="U75"/>
      <c r="V75"/>
      <c r="W75"/>
    </row>
    <row r="76" spans="1:96" ht="15.6">
      <c r="A76"/>
      <c r="B76"/>
      <c r="C76"/>
      <c r="D76"/>
      <c r="E76"/>
      <c r="F76"/>
      <c r="G76"/>
      <c r="H76"/>
      <c r="I76"/>
      <c r="J76"/>
      <c r="K76"/>
      <c r="L76"/>
      <c r="M76"/>
      <c r="N76"/>
      <c r="O76"/>
      <c r="P76"/>
      <c r="Q76"/>
      <c r="R76"/>
      <c r="S76"/>
      <c r="T76"/>
      <c r="U76"/>
      <c r="V76"/>
      <c r="W76"/>
    </row>
    <row r="77" spans="1:96" ht="15.6">
      <c r="A77"/>
      <c r="B77"/>
      <c r="C77"/>
      <c r="D77"/>
      <c r="E77"/>
      <c r="F77"/>
      <c r="G77"/>
      <c r="H77"/>
      <c r="I77"/>
      <c r="J77"/>
      <c r="K77"/>
      <c r="L77"/>
      <c r="M77"/>
      <c r="N77"/>
      <c r="O77"/>
      <c r="P77"/>
      <c r="Q77"/>
      <c r="R77"/>
      <c r="S77"/>
      <c r="T77"/>
      <c r="U77"/>
      <c r="V77"/>
      <c r="W77"/>
    </row>
    <row r="78" spans="1:96" ht="15.6">
      <c r="A78"/>
      <c r="B78"/>
      <c r="C78"/>
      <c r="D78"/>
      <c r="E78"/>
      <c r="F78"/>
      <c r="G78"/>
      <c r="H78"/>
      <c r="I78"/>
      <c r="J78"/>
      <c r="K78"/>
      <c r="L78"/>
      <c r="M78"/>
      <c r="N78"/>
      <c r="O78"/>
      <c r="P78"/>
      <c r="Q78"/>
      <c r="R78"/>
      <c r="S78"/>
      <c r="T78"/>
      <c r="U78"/>
      <c r="V78"/>
      <c r="W78"/>
    </row>
    <row r="79" spans="1:96" ht="15.6">
      <c r="A79"/>
      <c r="B79"/>
      <c r="C79"/>
      <c r="D79"/>
      <c r="E79"/>
      <c r="F79"/>
      <c r="G79"/>
      <c r="H79"/>
      <c r="I79"/>
      <c r="J79"/>
      <c r="K79"/>
      <c r="L79"/>
      <c r="M79"/>
      <c r="N79"/>
      <c r="O79"/>
      <c r="P79"/>
      <c r="Q79"/>
      <c r="R79"/>
      <c r="S79"/>
      <c r="T79"/>
      <c r="U79"/>
      <c r="V79"/>
      <c r="W79"/>
    </row>
    <row r="80" spans="1:96" ht="15.6">
      <c r="A80"/>
      <c r="B80"/>
      <c r="C80"/>
      <c r="D80"/>
      <c r="E80"/>
      <c r="F80"/>
      <c r="G80"/>
      <c r="H80"/>
      <c r="I80"/>
      <c r="J80"/>
      <c r="K80"/>
      <c r="L80"/>
      <c r="M80"/>
      <c r="N80"/>
      <c r="O80"/>
      <c r="P80"/>
      <c r="Q80"/>
      <c r="R80"/>
      <c r="S80"/>
      <c r="T80"/>
      <c r="U80"/>
      <c r="V80"/>
      <c r="W80"/>
    </row>
    <row r="81" spans="1:23" ht="15.6">
      <c r="A81"/>
      <c r="B81"/>
      <c r="C81"/>
      <c r="D81"/>
      <c r="E81"/>
      <c r="F81"/>
      <c r="G81"/>
      <c r="H81"/>
      <c r="I81"/>
      <c r="J81"/>
      <c r="K81"/>
      <c r="L81"/>
      <c r="M81"/>
      <c r="N81"/>
      <c r="O81"/>
      <c r="P81"/>
      <c r="Q81"/>
      <c r="R81"/>
      <c r="S81"/>
      <c r="T81"/>
      <c r="U81"/>
      <c r="V81"/>
      <c r="W81"/>
    </row>
    <row r="82" spans="1:23" ht="15.6">
      <c r="A82"/>
      <c r="B82"/>
      <c r="C82"/>
      <c r="D82"/>
      <c r="E82"/>
      <c r="F82"/>
      <c r="G82"/>
      <c r="H82"/>
      <c r="I82"/>
      <c r="J82"/>
      <c r="K82"/>
      <c r="L82"/>
      <c r="M82"/>
      <c r="N82"/>
      <c r="O82"/>
      <c r="P82"/>
      <c r="Q82"/>
      <c r="R82"/>
      <c r="S82"/>
      <c r="T82"/>
      <c r="U82"/>
      <c r="V82"/>
      <c r="W82"/>
    </row>
    <row r="83" spans="1:23" ht="15.6">
      <c r="A83"/>
      <c r="B83"/>
      <c r="C83"/>
      <c r="D83"/>
      <c r="E83"/>
      <c r="F83"/>
      <c r="G83"/>
      <c r="H83"/>
      <c r="I83"/>
      <c r="J83"/>
      <c r="K83"/>
      <c r="L83"/>
      <c r="M83"/>
      <c r="N83"/>
      <c r="O83"/>
      <c r="P83"/>
      <c r="Q83"/>
      <c r="R83"/>
      <c r="S83"/>
      <c r="T83"/>
      <c r="U83"/>
      <c r="V83"/>
      <c r="W83"/>
    </row>
    <row r="84" spans="1:23" ht="15.6">
      <c r="A84"/>
      <c r="B84"/>
      <c r="C84"/>
      <c r="D84"/>
      <c r="E84"/>
      <c r="F84"/>
      <c r="G84"/>
      <c r="H84"/>
      <c r="I84"/>
      <c r="J84"/>
      <c r="K84"/>
      <c r="L84"/>
      <c r="M84"/>
      <c r="N84"/>
      <c r="O84"/>
      <c r="P84"/>
      <c r="Q84"/>
      <c r="R84"/>
      <c r="S84"/>
      <c r="T84"/>
      <c r="U84"/>
      <c r="V84"/>
      <c r="W84"/>
    </row>
    <row r="85" spans="1:23" ht="15.6">
      <c r="A85"/>
      <c r="B85"/>
      <c r="C85"/>
      <c r="D85"/>
      <c r="E85"/>
      <c r="F85"/>
      <c r="G85"/>
      <c r="H85"/>
      <c r="I85"/>
      <c r="J85"/>
      <c r="K85"/>
      <c r="L85"/>
      <c r="M85"/>
      <c r="N85"/>
      <c r="O85"/>
      <c r="P85"/>
      <c r="Q85"/>
      <c r="R85"/>
      <c r="S85"/>
      <c r="T85"/>
      <c r="U85"/>
      <c r="V85"/>
      <c r="W85"/>
    </row>
    <row r="86" spans="1:23" ht="15.6">
      <c r="A86"/>
      <c r="B86"/>
      <c r="C86"/>
      <c r="D86"/>
      <c r="E86"/>
      <c r="F86"/>
      <c r="G86"/>
      <c r="H86"/>
      <c r="I86"/>
      <c r="J86"/>
      <c r="K86"/>
      <c r="L86"/>
      <c r="M86"/>
      <c r="N86"/>
      <c r="O86"/>
      <c r="P86"/>
      <c r="Q86"/>
      <c r="R86"/>
      <c r="S86"/>
      <c r="T86"/>
      <c r="U86"/>
      <c r="V86"/>
      <c r="W86"/>
    </row>
    <row r="87" spans="1:23" ht="15.6">
      <c r="A87"/>
      <c r="B87"/>
      <c r="C87"/>
      <c r="D87"/>
      <c r="E87"/>
      <c r="F87"/>
      <c r="G87"/>
      <c r="H87"/>
      <c r="I87"/>
      <c r="J87"/>
      <c r="K87"/>
      <c r="L87"/>
      <c r="M87"/>
      <c r="N87"/>
      <c r="O87"/>
      <c r="P87"/>
      <c r="Q87"/>
      <c r="R87"/>
      <c r="S87"/>
      <c r="T87"/>
      <c r="U87"/>
      <c r="V87"/>
      <c r="W87"/>
    </row>
    <row r="88" spans="1:23" ht="15.6">
      <c r="A88"/>
      <c r="B88"/>
      <c r="C88"/>
      <c r="D88"/>
      <c r="E88"/>
      <c r="F88"/>
      <c r="G88"/>
      <c r="H88"/>
      <c r="I88"/>
      <c r="J88"/>
      <c r="K88"/>
      <c r="L88"/>
      <c r="M88"/>
      <c r="N88"/>
      <c r="O88"/>
      <c r="P88"/>
      <c r="Q88"/>
      <c r="R88"/>
      <c r="S88"/>
      <c r="T88"/>
      <c r="U88"/>
      <c r="V88"/>
      <c r="W88"/>
    </row>
    <row r="89" spans="1:23" ht="15.6">
      <c r="A89"/>
      <c r="B89"/>
      <c r="C89"/>
      <c r="D89"/>
      <c r="E89"/>
      <c r="F89"/>
      <c r="G89"/>
      <c r="H89"/>
      <c r="I89"/>
      <c r="J89"/>
      <c r="K89"/>
      <c r="L89"/>
      <c r="M89"/>
      <c r="N89"/>
      <c r="O89"/>
      <c r="P89"/>
      <c r="Q89"/>
      <c r="R89"/>
      <c r="S89"/>
      <c r="T89"/>
      <c r="U89"/>
      <c r="V89"/>
      <c r="W89"/>
    </row>
    <row r="90" spans="1:23" ht="15.6">
      <c r="A90"/>
      <c r="B90"/>
      <c r="C90"/>
      <c r="D90"/>
      <c r="E90"/>
      <c r="F90"/>
      <c r="G90"/>
      <c r="H90"/>
      <c r="I90"/>
      <c r="J90"/>
      <c r="K90"/>
      <c r="L90"/>
      <c r="M90"/>
      <c r="N90"/>
      <c r="O90"/>
      <c r="P90"/>
      <c r="Q90"/>
      <c r="R90"/>
      <c r="S90"/>
      <c r="T90"/>
      <c r="U90"/>
      <c r="V90"/>
      <c r="W90"/>
    </row>
    <row r="91" spans="1:23" ht="15.6">
      <c r="A91"/>
      <c r="B91"/>
      <c r="C91"/>
      <c r="D91"/>
      <c r="E91"/>
      <c r="F91"/>
      <c r="G91"/>
      <c r="H91"/>
      <c r="I91"/>
      <c r="J91"/>
      <c r="K91"/>
      <c r="L91"/>
      <c r="M91"/>
      <c r="N91"/>
      <c r="O91"/>
      <c r="P91"/>
      <c r="Q91"/>
      <c r="R91"/>
      <c r="S91"/>
      <c r="T91"/>
      <c r="U91"/>
      <c r="V91"/>
      <c r="W91"/>
    </row>
    <row r="92" spans="1:23" ht="15.6">
      <c r="A92"/>
      <c r="B92"/>
      <c r="C92"/>
      <c r="D92"/>
      <c r="E92"/>
      <c r="F92"/>
      <c r="G92"/>
      <c r="H92"/>
      <c r="I92"/>
      <c r="J92"/>
      <c r="K92"/>
      <c r="L92"/>
      <c r="M92"/>
      <c r="N92"/>
      <c r="O92"/>
      <c r="P92"/>
      <c r="Q92"/>
      <c r="R92"/>
      <c r="S92"/>
      <c r="T92"/>
      <c r="U92"/>
      <c r="V92"/>
      <c r="W92"/>
    </row>
    <row r="93" spans="1:23" ht="15.6">
      <c r="A93"/>
      <c r="B93"/>
      <c r="C93"/>
      <c r="D93"/>
      <c r="E93"/>
      <c r="F93"/>
      <c r="G93"/>
      <c r="H93"/>
      <c r="I93"/>
      <c r="J93"/>
      <c r="K93"/>
      <c r="L93"/>
      <c r="M93"/>
      <c r="N93"/>
      <c r="O93"/>
      <c r="P93"/>
      <c r="Q93"/>
      <c r="R93"/>
      <c r="S93"/>
      <c r="T93"/>
      <c r="U93"/>
      <c r="V93"/>
      <c r="W93"/>
    </row>
    <row r="94" spans="1:23" ht="15.6">
      <c r="A94"/>
      <c r="B94"/>
      <c r="C94"/>
      <c r="D94"/>
      <c r="E94"/>
      <c r="F94"/>
      <c r="G94"/>
      <c r="H94"/>
      <c r="I94"/>
      <c r="J94"/>
      <c r="K94"/>
      <c r="L94"/>
      <c r="M94"/>
      <c r="N94"/>
      <c r="O94"/>
      <c r="P94"/>
      <c r="Q94"/>
      <c r="R94"/>
      <c r="S94"/>
      <c r="T94"/>
      <c r="U94"/>
      <c r="V94"/>
      <c r="W94"/>
    </row>
  </sheetData>
  <mergeCells count="61">
    <mergeCell ref="C42:D42"/>
    <mergeCell ref="E42:F42"/>
    <mergeCell ref="G42:H42"/>
    <mergeCell ref="I42:J42"/>
    <mergeCell ref="S42:T42"/>
    <mergeCell ref="K42:L42"/>
    <mergeCell ref="M42:N42"/>
    <mergeCell ref="O42:P42"/>
    <mergeCell ref="Q42:R42"/>
    <mergeCell ref="M40:N40"/>
    <mergeCell ref="O40:P40"/>
    <mergeCell ref="Q40:R40"/>
    <mergeCell ref="S40:T40"/>
    <mergeCell ref="C41:D41"/>
    <mergeCell ref="E41:F41"/>
    <mergeCell ref="G41:H41"/>
    <mergeCell ref="I41:J41"/>
    <mergeCell ref="K41:L41"/>
    <mergeCell ref="M41:N41"/>
    <mergeCell ref="O41:P41"/>
    <mergeCell ref="Q41:R41"/>
    <mergeCell ref="S41:T41"/>
    <mergeCell ref="C40:D40"/>
    <mergeCell ref="E40:F40"/>
    <mergeCell ref="G40:H40"/>
    <mergeCell ref="I40:J40"/>
    <mergeCell ref="K40:L40"/>
    <mergeCell ref="M11:N11"/>
    <mergeCell ref="O11:P11"/>
    <mergeCell ref="Q11:R11"/>
    <mergeCell ref="S11:T11"/>
    <mergeCell ref="C12:D12"/>
    <mergeCell ref="E12:F12"/>
    <mergeCell ref="G12:H12"/>
    <mergeCell ref="I12:J12"/>
    <mergeCell ref="K12:L12"/>
    <mergeCell ref="M12:N12"/>
    <mergeCell ref="O12:P12"/>
    <mergeCell ref="Q12:R12"/>
    <mergeCell ref="S12:T12"/>
    <mergeCell ref="C11:D11"/>
    <mergeCell ref="E11:F11"/>
    <mergeCell ref="G11:H11"/>
    <mergeCell ref="I11:J11"/>
    <mergeCell ref="K11:L1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s>
  <phoneticPr fontId="54" type="noConversion"/>
  <pageMargins left="0.47" right="0.35" top="0.48" bottom="0.38" header="0" footer="0.25"/>
  <pageSetup scale="94" fitToHeight="2" orientation="landscape" horizontalDpi="4294967292" verticalDpi="300" r:id="rId1"/>
  <headerFooter alignWithMargins="0">
    <oddFooter>Page &amp;P of &amp;N</oddFooter>
  </headerFooter>
  <rowBreaks count="1" manualBreakCount="1">
    <brk id="3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CR94"/>
  <sheetViews>
    <sheetView showGridLines="0" showZeros="0" defaultGridColor="0" colorId="8" zoomScaleNormal="110" zoomScaleSheetLayoutView="50" workbookViewId="0"/>
  </sheetViews>
  <sheetFormatPr defaultColWidth="0" defaultRowHeight="10.15"/>
  <cols>
    <col min="1" max="1" width="40.625" style="12" customWidth="1"/>
    <col min="2" max="2" width="3" style="11" customWidth="1"/>
    <col min="3" max="3" width="4.125" style="12" customWidth="1"/>
    <col min="4" max="4" width="4.5" style="12" customWidth="1"/>
    <col min="5" max="5" width="4.125" style="12" customWidth="1"/>
    <col min="6" max="6" width="4.5" style="12" customWidth="1"/>
    <col min="7" max="7" width="4.125" style="12" customWidth="1"/>
    <col min="8" max="8" width="4.5" style="12" customWidth="1"/>
    <col min="9" max="9" width="4.125" style="12" customWidth="1"/>
    <col min="10" max="10" width="4.5" style="12" customWidth="1"/>
    <col min="11" max="11" width="4.125" style="12" customWidth="1"/>
    <col min="12" max="12" width="4.5" style="12" customWidth="1"/>
    <col min="13" max="14" width="5.125" style="12" customWidth="1"/>
    <col min="15" max="15" width="4.125" style="12" customWidth="1"/>
    <col min="16" max="20" width="4.5" style="12" customWidth="1"/>
    <col min="21" max="23" width="5.625" style="13" customWidth="1"/>
    <col min="24" max="24" width="2.875" style="12" customWidth="1"/>
    <col min="25" max="53" width="6.625" style="12" hidden="1" customWidth="1"/>
    <col min="54" max="16384" width="0" style="12" hidden="1"/>
  </cols>
  <sheetData>
    <row r="1" spans="1:96" s="3" customFormat="1" ht="27.6">
      <c r="A1" s="814" t="str">
        <f>Cover!$A$3</f>
        <v>FALL ENROLLMENT 2021</v>
      </c>
      <c r="B1" s="33"/>
      <c r="C1" s="33"/>
      <c r="D1" s="33"/>
      <c r="E1" s="33"/>
      <c r="F1" s="33"/>
      <c r="G1" s="33"/>
      <c r="H1" s="33"/>
      <c r="I1" s="33"/>
      <c r="J1" s="33"/>
      <c r="K1" s="33"/>
      <c r="L1" s="33"/>
      <c r="M1" s="33"/>
      <c r="N1" s="33"/>
      <c r="O1" s="33"/>
      <c r="P1" s="33"/>
      <c r="Q1" s="33"/>
      <c r="R1" s="33"/>
      <c r="S1" s="33"/>
      <c r="T1" s="33"/>
      <c r="U1" s="33"/>
      <c r="V1" s="33"/>
      <c r="W1" s="33"/>
      <c r="X1" s="790">
        <f>IF(COUNT(C18:P25,C28:P29,C32:P34,C48:P55,C58:P59,C62:P64)&gt;0,1,0)</f>
        <v>0</v>
      </c>
    </row>
    <row r="2" spans="1:96" s="4" customFormat="1">
      <c r="A2" s="249" t="str">
        <f>Cover!A62</f>
        <v>2122</v>
      </c>
      <c r="B2" s="56"/>
      <c r="C2" s="56"/>
      <c r="D2" s="56"/>
      <c r="E2" s="56"/>
      <c r="F2" s="56"/>
      <c r="G2" s="56"/>
      <c r="H2" s="56"/>
      <c r="I2" s="56"/>
      <c r="J2" s="56"/>
    </row>
    <row r="3" spans="1:96" s="3" customFormat="1" ht="13.9" thickBot="1">
      <c r="A3" s="802" t="str">
        <f>Cover!$A$8</f>
        <v>Western Connecticut State University</v>
      </c>
      <c r="B3" s="57"/>
      <c r="C3" s="58"/>
      <c r="D3" s="57"/>
      <c r="E3" s="57"/>
      <c r="F3" s="57"/>
      <c r="G3" s="57"/>
      <c r="H3" s="57"/>
      <c r="I3" s="57"/>
      <c r="J3" s="57"/>
      <c r="K3" s="5" t="s">
        <v>48</v>
      </c>
      <c r="M3" s="2"/>
      <c r="N3" s="6" t="str">
        <f>+Cover!$A$10</f>
        <v>Jerry Wilcox</v>
      </c>
      <c r="O3" s="7"/>
      <c r="P3" s="8"/>
      <c r="Q3" s="8"/>
      <c r="R3" s="8"/>
      <c r="S3" s="8"/>
      <c r="T3" s="8"/>
      <c r="U3" s="7"/>
      <c r="X3" s="789"/>
    </row>
    <row r="4" spans="1:96" s="3" customFormat="1" ht="13.9" thickBot="1">
      <c r="A4" s="31">
        <f>Cover!$B$8</f>
        <v>130776</v>
      </c>
      <c r="B4" s="57"/>
      <c r="C4" s="58"/>
      <c r="D4" s="57"/>
      <c r="E4" s="56"/>
      <c r="F4" s="57"/>
      <c r="G4" s="56"/>
      <c r="H4" s="57"/>
      <c r="I4" s="56"/>
      <c r="J4" s="57"/>
      <c r="K4" s="5" t="s">
        <v>49</v>
      </c>
      <c r="M4" s="9"/>
      <c r="N4" s="6" t="str">
        <f>+Cover!$B$10</f>
        <v>Director, Institutional Research and Assessment</v>
      </c>
      <c r="O4" s="7"/>
      <c r="P4" s="8"/>
      <c r="Q4" s="8"/>
      <c r="R4" s="8"/>
      <c r="S4" s="8"/>
      <c r="T4" s="8"/>
      <c r="U4" s="7"/>
    </row>
    <row r="5" spans="1:96" s="3" customFormat="1" ht="16.149999999999999" thickBot="1">
      <c r="A5" s="32" t="str">
        <f>Cover!$C$8</f>
        <v>Danbury</v>
      </c>
      <c r="B5" s="57"/>
      <c r="C5" s="58"/>
      <c r="D5" s="57"/>
      <c r="E5" s="56"/>
      <c r="F5" s="57"/>
      <c r="G5" s="56"/>
      <c r="H5" s="57"/>
      <c r="I5" s="56"/>
      <c r="J5" s="57"/>
      <c r="K5" s="5" t="s">
        <v>50</v>
      </c>
      <c r="M5" s="9"/>
      <c r="N5" s="990" t="str">
        <f>+Cover!$C$10</f>
        <v>203-837-8242</v>
      </c>
      <c r="O5" s="1152"/>
      <c r="P5" s="1152"/>
      <c r="Q5" s="939"/>
      <c r="R5" s="939"/>
      <c r="S5" s="939"/>
      <c r="T5" s="939"/>
      <c r="U5" s="7"/>
    </row>
    <row r="6" spans="1:96" ht="10.5" customHeight="1">
      <c r="A6" s="10"/>
      <c r="B6" s="56"/>
      <c r="C6" s="56"/>
      <c r="D6" s="56"/>
      <c r="E6" s="56"/>
      <c r="F6" s="56"/>
      <c r="G6" s="56"/>
      <c r="H6" s="56"/>
      <c r="I6" s="56"/>
      <c r="J6" s="56"/>
      <c r="L6" s="9"/>
      <c r="N6" s="9"/>
      <c r="P6" s="9"/>
      <c r="Q6" s="9"/>
      <c r="R6" s="9"/>
      <c r="S6" s="9"/>
      <c r="T6" s="9"/>
      <c r="V6" s="14"/>
      <c r="W6" s="14"/>
    </row>
    <row r="7" spans="1:96" ht="20.45">
      <c r="A7" s="537" t="s">
        <v>51</v>
      </c>
    </row>
    <row r="8" spans="1:96">
      <c r="A8" s="10" t="s">
        <v>52</v>
      </c>
    </row>
    <row r="9" spans="1: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96" ht="11.25" customHeight="1">
      <c r="A10" s="999" t="s">
        <v>168</v>
      </c>
      <c r="B10" s="36"/>
      <c r="C10" s="991" t="s">
        <v>54</v>
      </c>
      <c r="D10" s="992"/>
      <c r="E10" s="991" t="s">
        <v>55</v>
      </c>
      <c r="F10" s="992"/>
      <c r="G10" s="991" t="s">
        <v>56</v>
      </c>
      <c r="H10" s="992"/>
      <c r="I10" s="991"/>
      <c r="J10" s="992"/>
      <c r="K10" s="991" t="s">
        <v>57</v>
      </c>
      <c r="L10" s="992"/>
      <c r="M10" s="991"/>
      <c r="N10" s="992"/>
      <c r="O10" s="991" t="s">
        <v>58</v>
      </c>
      <c r="P10" s="992"/>
      <c r="Q10" s="991" t="s">
        <v>59</v>
      </c>
      <c r="R10" s="992"/>
      <c r="S10" s="991" t="s">
        <v>60</v>
      </c>
      <c r="T10" s="992"/>
      <c r="U10" s="59" t="s">
        <v>61</v>
      </c>
      <c r="V10" s="60"/>
      <c r="W10" s="61"/>
    </row>
    <row r="11" spans="1:96" ht="12" customHeight="1">
      <c r="A11" s="1000"/>
      <c r="B11" s="20"/>
      <c r="C11" s="993" t="s">
        <v>62</v>
      </c>
      <c r="D11" s="994"/>
      <c r="E11" s="993" t="s">
        <v>63</v>
      </c>
      <c r="F11" s="994"/>
      <c r="G11" s="993" t="s">
        <v>64</v>
      </c>
      <c r="H11" s="994"/>
      <c r="I11" s="993" t="s">
        <v>65</v>
      </c>
      <c r="J11" s="994"/>
      <c r="K11" s="993" t="s">
        <v>66</v>
      </c>
      <c r="L11" s="994"/>
      <c r="M11" s="993" t="s">
        <v>67</v>
      </c>
      <c r="N11" s="994"/>
      <c r="O11" s="993" t="s">
        <v>68</v>
      </c>
      <c r="P11" s="994"/>
      <c r="Q11" s="993" t="s">
        <v>69</v>
      </c>
      <c r="R11" s="994"/>
      <c r="S11" s="993" t="s">
        <v>70</v>
      </c>
      <c r="T11" s="994"/>
      <c r="U11" s="62" t="s">
        <v>71</v>
      </c>
      <c r="V11" s="63"/>
      <c r="W11" s="64"/>
    </row>
    <row r="12" spans="1:96" s="17" customFormat="1" ht="12" customHeight="1">
      <c r="A12" s="1001">
        <v>220101</v>
      </c>
      <c r="B12" s="20"/>
      <c r="C12" s="995" t="s">
        <v>73</v>
      </c>
      <c r="D12" s="996"/>
      <c r="E12" s="995" t="s">
        <v>56</v>
      </c>
      <c r="F12" s="996"/>
      <c r="G12" s="995" t="s">
        <v>74</v>
      </c>
      <c r="H12" s="996"/>
      <c r="I12" s="995"/>
      <c r="J12" s="996"/>
      <c r="K12" s="995" t="s">
        <v>75</v>
      </c>
      <c r="L12" s="996"/>
      <c r="M12" s="995"/>
      <c r="N12" s="996"/>
      <c r="O12" s="995" t="s">
        <v>76</v>
      </c>
      <c r="P12" s="996"/>
      <c r="Q12" s="995" t="s">
        <v>77</v>
      </c>
      <c r="R12" s="996"/>
      <c r="S12" s="995" t="s">
        <v>78</v>
      </c>
      <c r="T12" s="996"/>
      <c r="U12" s="65" t="s">
        <v>79</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7.25" customHeight="1">
      <c r="A13" s="1154"/>
      <c r="B13" s="20" t="s">
        <v>80</v>
      </c>
      <c r="C13" s="68" t="s">
        <v>81</v>
      </c>
      <c r="D13" s="23" t="s">
        <v>82</v>
      </c>
      <c r="E13" s="68" t="s">
        <v>81</v>
      </c>
      <c r="F13" s="23" t="s">
        <v>82</v>
      </c>
      <c r="G13" s="68" t="s">
        <v>81</v>
      </c>
      <c r="H13" s="23" t="s">
        <v>82</v>
      </c>
      <c r="I13" s="68" t="s">
        <v>81</v>
      </c>
      <c r="J13" s="23" t="s">
        <v>82</v>
      </c>
      <c r="K13" s="68" t="s">
        <v>81</v>
      </c>
      <c r="L13" s="23" t="s">
        <v>82</v>
      </c>
      <c r="M13" s="68" t="s">
        <v>81</v>
      </c>
      <c r="N13" s="23" t="s">
        <v>82</v>
      </c>
      <c r="O13" s="68" t="s">
        <v>81</v>
      </c>
      <c r="P13" s="23" t="s">
        <v>82</v>
      </c>
      <c r="Q13" s="68" t="s">
        <v>81</v>
      </c>
      <c r="R13" s="23" t="s">
        <v>82</v>
      </c>
      <c r="S13" s="68" t="s">
        <v>81</v>
      </c>
      <c r="T13" s="23" t="s">
        <v>82</v>
      </c>
      <c r="U13" s="69" t="s">
        <v>81</v>
      </c>
      <c r="V13" s="21" t="s">
        <v>82</v>
      </c>
      <c r="W13" s="21" t="s">
        <v>83</v>
      </c>
    </row>
    <row r="14" spans="1:96" s="17" customFormat="1" ht="14.25" customHeight="1">
      <c r="A14" s="601" t="s">
        <v>84</v>
      </c>
      <c r="B14" s="20" t="s">
        <v>85</v>
      </c>
      <c r="C14" s="70" t="s">
        <v>86</v>
      </c>
      <c r="D14" s="70" t="s">
        <v>87</v>
      </c>
      <c r="E14" s="70" t="s">
        <v>88</v>
      </c>
      <c r="F14" s="70" t="s">
        <v>89</v>
      </c>
      <c r="G14" s="70" t="s">
        <v>90</v>
      </c>
      <c r="H14" s="70" t="s">
        <v>91</v>
      </c>
      <c r="I14" s="70" t="s">
        <v>92</v>
      </c>
      <c r="J14" s="70" t="s">
        <v>93</v>
      </c>
      <c r="K14" s="70" t="s">
        <v>94</v>
      </c>
      <c r="L14" s="70" t="s">
        <v>95</v>
      </c>
      <c r="M14" s="70" t="s">
        <v>96</v>
      </c>
      <c r="N14" s="70" t="s">
        <v>97</v>
      </c>
      <c r="O14" s="70" t="s">
        <v>98</v>
      </c>
      <c r="P14" s="70" t="s">
        <v>99</v>
      </c>
      <c r="Q14" s="70" t="s">
        <v>100</v>
      </c>
      <c r="R14" s="70" t="s">
        <v>101</v>
      </c>
      <c r="S14" s="70" t="s">
        <v>102</v>
      </c>
      <c r="T14" s="70" t="s">
        <v>103</v>
      </c>
      <c r="U14" s="71" t="s">
        <v>104</v>
      </c>
      <c r="V14" s="71" t="s">
        <v>105</v>
      </c>
      <c r="W14" s="71" t="s">
        <v>106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987" t="s">
        <v>107</v>
      </c>
      <c r="B15" s="988"/>
      <c r="C15" s="988"/>
      <c r="D15" s="988"/>
      <c r="E15" s="988"/>
      <c r="F15" s="988"/>
      <c r="G15" s="988"/>
      <c r="H15" s="988"/>
      <c r="I15" s="988"/>
      <c r="J15" s="988"/>
      <c r="K15" s="988"/>
      <c r="L15" s="988"/>
      <c r="M15" s="988"/>
      <c r="N15" s="988"/>
      <c r="O15" s="988"/>
      <c r="P15" s="988"/>
      <c r="Q15" s="988"/>
      <c r="R15" s="988"/>
      <c r="S15" s="988"/>
      <c r="T15" s="988"/>
      <c r="U15" s="988"/>
      <c r="V15" s="988"/>
      <c r="W15" s="98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96" ht="17.45">
      <c r="A16" s="548" t="s">
        <v>108</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96" ht="13.15">
      <c r="A17" s="37" t="s">
        <v>109</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4.1" customHeight="1">
      <c r="A18" s="823" t="s">
        <v>110</v>
      </c>
      <c r="B18" s="34" t="s">
        <v>111</v>
      </c>
      <c r="C18" s="714"/>
      <c r="D18" s="714"/>
      <c r="E18" s="714"/>
      <c r="F18" s="714"/>
      <c r="G18" s="714"/>
      <c r="H18" s="714"/>
      <c r="I18" s="714"/>
      <c r="J18" s="714"/>
      <c r="K18" s="714"/>
      <c r="L18" s="714"/>
      <c r="M18" s="714"/>
      <c r="N18" s="714"/>
      <c r="O18" s="714"/>
      <c r="P18" s="714"/>
      <c r="Q18" s="714"/>
      <c r="R18" s="715"/>
      <c r="S18" s="714"/>
      <c r="T18" s="715"/>
      <c r="U18" s="47">
        <f>C18+E18+G18+I18+K18+M18+O18+Q18+S18</f>
        <v>0</v>
      </c>
      <c r="V18" s="47">
        <f>D18+F18+H18+J18+L18+N18+P18+R18+T18</f>
        <v>0</v>
      </c>
      <c r="W18" s="44">
        <f>+V18+U18</f>
        <v>0</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4.1" customHeight="1">
      <c r="A19" s="824" t="s">
        <v>112</v>
      </c>
      <c r="B19" s="820" t="s">
        <v>113</v>
      </c>
      <c r="C19" s="830"/>
      <c r="D19" s="830"/>
      <c r="E19" s="830"/>
      <c r="F19" s="830"/>
      <c r="G19" s="830"/>
      <c r="H19" s="830"/>
      <c r="I19" s="830"/>
      <c r="J19" s="830"/>
      <c r="K19" s="830"/>
      <c r="L19" s="830"/>
      <c r="M19" s="830"/>
      <c r="N19" s="830"/>
      <c r="O19" s="830"/>
      <c r="P19" s="830"/>
      <c r="Q19" s="830"/>
      <c r="R19" s="830"/>
      <c r="S19" s="830"/>
      <c r="T19" s="830"/>
      <c r="U19" s="47">
        <f>C19+E19+G19+I19+K19+M19+O19+Q19+S19</f>
        <v>0</v>
      </c>
      <c r="V19" s="47">
        <f>D19+F19+H19+J19+L19+N19+P19+R19+T19</f>
        <v>0</v>
      </c>
      <c r="W19" s="618">
        <f>+V19+U19</f>
        <v>0</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4.1" customHeight="1">
      <c r="A20" s="829" t="s">
        <v>114</v>
      </c>
      <c r="B20" s="822"/>
      <c r="C20" s="831"/>
      <c r="D20" s="831"/>
      <c r="E20" s="831"/>
      <c r="F20" s="831"/>
      <c r="G20" s="831"/>
      <c r="H20" s="831"/>
      <c r="I20" s="831"/>
      <c r="J20" s="831"/>
      <c r="K20" s="831"/>
      <c r="L20" s="831"/>
      <c r="M20" s="831"/>
      <c r="N20" s="831"/>
      <c r="O20" s="831"/>
      <c r="P20" s="831"/>
      <c r="Q20" s="831"/>
      <c r="R20" s="831"/>
      <c r="S20" s="831"/>
      <c r="T20" s="831"/>
      <c r="U20" s="821"/>
      <c r="V20" s="821"/>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4.1" customHeight="1">
      <c r="A21" s="825" t="s">
        <v>115</v>
      </c>
      <c r="B21" s="22" t="s">
        <v>116</v>
      </c>
      <c r="C21" s="715"/>
      <c r="D21" s="715"/>
      <c r="E21" s="715"/>
      <c r="F21" s="715"/>
      <c r="G21" s="715"/>
      <c r="H21" s="715"/>
      <c r="I21" s="715"/>
      <c r="J21" s="715"/>
      <c r="K21" s="715"/>
      <c r="L21" s="715"/>
      <c r="M21" s="715"/>
      <c r="N21" s="715"/>
      <c r="O21" s="715"/>
      <c r="P21" s="715"/>
      <c r="Q21" s="715"/>
      <c r="R21" s="715"/>
      <c r="S21" s="715"/>
      <c r="T21" s="715"/>
      <c r="U21" s="47">
        <f t="shared" ref="U21:V26" si="0">C21+E21+G21+I21+K21+M21+O21+Q21+S21</f>
        <v>0</v>
      </c>
      <c r="V21" s="47">
        <f t="shared" si="0"/>
        <v>0</v>
      </c>
      <c r="W21" s="49">
        <f t="shared" ref="W21:W26" si="1">+V21+U21</f>
        <v>0</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4.1" customHeight="1">
      <c r="A22" s="825" t="s">
        <v>117</v>
      </c>
      <c r="B22" s="22" t="s">
        <v>118</v>
      </c>
      <c r="C22" s="715"/>
      <c r="D22" s="715"/>
      <c r="E22" s="715"/>
      <c r="F22" s="715"/>
      <c r="G22" s="715"/>
      <c r="H22" s="715"/>
      <c r="I22" s="715"/>
      <c r="J22" s="715"/>
      <c r="K22" s="715"/>
      <c r="L22" s="715"/>
      <c r="M22" s="715"/>
      <c r="N22" s="715"/>
      <c r="O22" s="715"/>
      <c r="P22" s="715"/>
      <c r="Q22" s="715"/>
      <c r="R22" s="715"/>
      <c r="S22" s="715"/>
      <c r="T22" s="715"/>
      <c r="U22" s="47">
        <f t="shared" si="0"/>
        <v>0</v>
      </c>
      <c r="V22" s="47">
        <f t="shared" si="0"/>
        <v>0</v>
      </c>
      <c r="W22" s="44">
        <f t="shared" si="1"/>
        <v>0</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4.1" customHeight="1">
      <c r="A23" s="825" t="s">
        <v>119</v>
      </c>
      <c r="B23" s="22" t="s">
        <v>120</v>
      </c>
      <c r="C23" s="715"/>
      <c r="D23" s="715"/>
      <c r="E23" s="715"/>
      <c r="F23" s="715"/>
      <c r="G23" s="715"/>
      <c r="H23" s="715"/>
      <c r="I23" s="715"/>
      <c r="J23" s="715"/>
      <c r="K23" s="715"/>
      <c r="L23" s="715"/>
      <c r="M23" s="715"/>
      <c r="N23" s="715"/>
      <c r="O23" s="715"/>
      <c r="P23" s="715"/>
      <c r="Q23" s="715"/>
      <c r="R23" s="715"/>
      <c r="S23" s="715"/>
      <c r="T23" s="715"/>
      <c r="U23" s="47">
        <f t="shared" si="0"/>
        <v>0</v>
      </c>
      <c r="V23" s="47">
        <f t="shared" si="0"/>
        <v>0</v>
      </c>
      <c r="W23" s="44">
        <f t="shared" si="1"/>
        <v>0</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4.1" customHeight="1">
      <c r="A24" s="825" t="s">
        <v>121</v>
      </c>
      <c r="B24" s="22" t="s">
        <v>122</v>
      </c>
      <c r="C24" s="715"/>
      <c r="D24" s="715"/>
      <c r="E24" s="715"/>
      <c r="F24" s="715"/>
      <c r="G24" s="715"/>
      <c r="H24" s="715"/>
      <c r="I24" s="715"/>
      <c r="J24" s="715"/>
      <c r="K24" s="715"/>
      <c r="L24" s="715"/>
      <c r="M24" s="715"/>
      <c r="N24" s="715"/>
      <c r="O24" s="715"/>
      <c r="P24" s="715"/>
      <c r="Q24" s="715"/>
      <c r="R24" s="715"/>
      <c r="S24" s="715"/>
      <c r="T24" s="715"/>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7" t="s">
        <v>123</v>
      </c>
      <c r="B25" s="22" t="s">
        <v>124</v>
      </c>
      <c r="C25" s="715"/>
      <c r="D25" s="715"/>
      <c r="E25" s="715"/>
      <c r="F25" s="715"/>
      <c r="G25" s="715"/>
      <c r="H25" s="715"/>
      <c r="I25" s="715"/>
      <c r="J25" s="715"/>
      <c r="K25" s="715"/>
      <c r="L25" s="715"/>
      <c r="M25" s="715"/>
      <c r="N25" s="715"/>
      <c r="O25" s="715"/>
      <c r="P25" s="715"/>
      <c r="Q25" s="715"/>
      <c r="R25" s="715"/>
      <c r="S25" s="715"/>
      <c r="T25" s="715"/>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50" t="s">
        <v>125</v>
      </c>
      <c r="B26" s="551" t="s">
        <v>126</v>
      </c>
      <c r="C26" s="552">
        <f t="shared" ref="C26:P26" si="2">SUM(C18:C25)</f>
        <v>0</v>
      </c>
      <c r="D26" s="552">
        <f t="shared" si="2"/>
        <v>0</v>
      </c>
      <c r="E26" s="552">
        <f t="shared" si="2"/>
        <v>0</v>
      </c>
      <c r="F26" s="552">
        <f t="shared" si="2"/>
        <v>0</v>
      </c>
      <c r="G26" s="552">
        <f t="shared" si="2"/>
        <v>0</v>
      </c>
      <c r="H26" s="552">
        <f t="shared" si="2"/>
        <v>0</v>
      </c>
      <c r="I26" s="552">
        <f t="shared" si="2"/>
        <v>0</v>
      </c>
      <c r="J26" s="552">
        <f t="shared" si="2"/>
        <v>0</v>
      </c>
      <c r="K26" s="552">
        <f t="shared" si="2"/>
        <v>0</v>
      </c>
      <c r="L26" s="552">
        <f t="shared" si="2"/>
        <v>0</v>
      </c>
      <c r="M26" s="552">
        <f t="shared" si="2"/>
        <v>0</v>
      </c>
      <c r="N26" s="552">
        <f t="shared" si="2"/>
        <v>0</v>
      </c>
      <c r="O26" s="552">
        <f t="shared" si="2"/>
        <v>0</v>
      </c>
      <c r="P26" s="552">
        <f t="shared" si="2"/>
        <v>0</v>
      </c>
      <c r="Q26" s="552">
        <f>SUM(Q18:Q25)</f>
        <v>0</v>
      </c>
      <c r="R26" s="552">
        <f>SUM(R18:R25)</f>
        <v>0</v>
      </c>
      <c r="S26" s="552">
        <f>SUM(S18:S25)</f>
        <v>0</v>
      </c>
      <c r="T26" s="552">
        <f>SUM(T18:T25)</f>
        <v>0</v>
      </c>
      <c r="U26" s="552">
        <f t="shared" si="0"/>
        <v>0</v>
      </c>
      <c r="V26" s="552">
        <f t="shared" si="0"/>
        <v>0</v>
      </c>
      <c r="W26" s="553">
        <f t="shared" si="1"/>
        <v>0</v>
      </c>
      <c r="X26" s="608"/>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96" ht="18" hidden="1" customHeight="1" thickTop="1">
      <c r="A27" s="548" t="s">
        <v>127</v>
      </c>
      <c r="B27" s="239"/>
      <c r="C27" s="549"/>
      <c r="D27" s="549"/>
      <c r="E27" s="549"/>
      <c r="F27" s="549"/>
      <c r="G27" s="549"/>
      <c r="H27" s="549"/>
      <c r="I27" s="549"/>
      <c r="J27" s="549"/>
      <c r="K27" s="549"/>
      <c r="L27" s="549"/>
      <c r="M27" s="549"/>
      <c r="N27" s="549"/>
      <c r="O27" s="549"/>
      <c r="P27" s="549"/>
      <c r="Q27" s="549"/>
      <c r="R27" s="549"/>
      <c r="S27" s="549"/>
      <c r="T27" s="549"/>
      <c r="U27" s="371"/>
      <c r="V27" s="371"/>
      <c r="W27" s="485"/>
      <c r="X27" s="609"/>
    </row>
    <row r="28" spans="1:96" s="17" customFormat="1" ht="13.15" hidden="1">
      <c r="A28" s="38" t="s">
        <v>128</v>
      </c>
      <c r="B28" s="34" t="s">
        <v>129</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9" hidden="1" thickBot="1">
      <c r="A29" s="604" t="s">
        <v>130</v>
      </c>
      <c r="B29" s="605" t="s">
        <v>131</v>
      </c>
      <c r="C29" s="606"/>
      <c r="D29" s="607"/>
      <c r="E29" s="606"/>
      <c r="F29" s="607"/>
      <c r="G29" s="606"/>
      <c r="H29" s="607"/>
      <c r="I29" s="606"/>
      <c r="J29" s="607"/>
      <c r="K29" s="606"/>
      <c r="L29" s="607"/>
      <c r="M29" s="606"/>
      <c r="N29" s="607"/>
      <c r="O29" s="606"/>
      <c r="P29" s="607"/>
      <c r="Q29" s="607"/>
      <c r="R29" s="607"/>
      <c r="S29" s="607"/>
      <c r="T29" s="607"/>
      <c r="U29" s="299">
        <f>C29+E29+G29+I29+K29+M29+O29</f>
        <v>0</v>
      </c>
      <c r="V29" s="299">
        <f>D29+F29+H29+J29+L29+N29+P29</f>
        <v>0</v>
      </c>
      <c r="W29" s="297">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96" ht="18" thickTop="1">
      <c r="A30" s="548" t="s">
        <v>132</v>
      </c>
      <c r="B30" s="239"/>
      <c r="C30" s="549"/>
      <c r="D30" s="549"/>
      <c r="E30" s="549"/>
      <c r="F30" s="549"/>
      <c r="G30" s="549"/>
      <c r="H30" s="549"/>
      <c r="I30" s="549"/>
      <c r="J30" s="549"/>
      <c r="K30" s="549"/>
      <c r="L30" s="549"/>
      <c r="M30" s="549"/>
      <c r="N30" s="549"/>
      <c r="O30" s="549"/>
      <c r="P30" s="549"/>
      <c r="Q30" s="549"/>
      <c r="R30" s="549"/>
      <c r="S30" s="549"/>
      <c r="T30" s="549"/>
      <c r="U30" s="371"/>
      <c r="V30" s="371"/>
      <c r="W30" s="485"/>
    </row>
    <row r="31" spans="1:96" ht="13.15">
      <c r="A31" s="37" t="s">
        <v>133</v>
      </c>
      <c r="B31" s="242" t="s">
        <v>61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3.15">
      <c r="A32" s="538" t="s">
        <v>134</v>
      </c>
      <c r="B32" s="22" t="s">
        <v>135</v>
      </c>
      <c r="C32" s="40"/>
      <c r="D32" s="41"/>
      <c r="E32" s="40"/>
      <c r="F32" s="41"/>
      <c r="G32" s="40"/>
      <c r="H32" s="41"/>
      <c r="I32" s="40"/>
      <c r="J32" s="41"/>
      <c r="K32" s="40"/>
      <c r="L32" s="41"/>
      <c r="M32" s="40"/>
      <c r="N32" s="41"/>
      <c r="O32" s="40"/>
      <c r="P32" s="41"/>
      <c r="Q32" s="40"/>
      <c r="R32" s="46"/>
      <c r="S32" s="40"/>
      <c r="T32" s="46"/>
      <c r="U32" s="47">
        <f t="shared" ref="U32:V35" si="3">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3.15">
      <c r="A33" s="538" t="s">
        <v>136</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45">
      <c r="A34" s="547" t="s">
        <v>137</v>
      </c>
      <c r="B34" s="22" t="s">
        <v>138</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6" t="s">
        <v>139</v>
      </c>
      <c r="B35" s="24" t="s">
        <v>140</v>
      </c>
      <c r="C35" s="47">
        <f>SUM(C32:C34)</f>
        <v>0</v>
      </c>
      <c r="D35" s="47">
        <f t="shared" ref="D35:P35" si="4">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spans="1:96" ht="25.5" customHeight="1"/>
    <row r="37" spans="1:96" ht="15.6">
      <c r="A37" s="483" t="str">
        <f>+A42&amp;" PART A (Continued)"</f>
        <v>220101 PART A (Continued)</v>
      </c>
      <c r="B37" s="26" t="str">
        <f>A1</f>
        <v>FALL ENROLLMENT 2021</v>
      </c>
      <c r="C37" s="27"/>
      <c r="D37" s="27"/>
      <c r="E37" s="27"/>
      <c r="F37" s="27"/>
      <c r="G37" s="27"/>
      <c r="H37" s="27"/>
      <c r="I37" s="27"/>
      <c r="J37" s="27"/>
      <c r="K37" s="27"/>
      <c r="L37" s="27"/>
      <c r="M37" s="27"/>
      <c r="N37" s="27"/>
      <c r="O37" s="27"/>
      <c r="P37" s="27"/>
      <c r="Q37" s="27"/>
      <c r="R37" s="27"/>
      <c r="S37" s="27"/>
      <c r="T37" s="27"/>
      <c r="U37" s="13" t="s">
        <v>61</v>
      </c>
    </row>
    <row r="38" spans="1:96" ht="15.6">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3.15">
      <c r="A39" s="28" t="s">
        <v>61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96">
      <c r="A40" s="997" t="str">
        <f>+A10</f>
        <v>LAW (e.g., J.D., LL.B, etc)</v>
      </c>
      <c r="B40" s="36"/>
      <c r="C40" s="991" t="s">
        <v>54</v>
      </c>
      <c r="D40" s="992"/>
      <c r="E40" s="991" t="s">
        <v>55</v>
      </c>
      <c r="F40" s="992"/>
      <c r="G40" s="991" t="s">
        <v>56</v>
      </c>
      <c r="H40" s="992"/>
      <c r="I40" s="991"/>
      <c r="J40" s="992"/>
      <c r="K40" s="991" t="s">
        <v>57</v>
      </c>
      <c r="L40" s="992"/>
      <c r="M40" s="991"/>
      <c r="N40" s="992"/>
      <c r="O40" s="991" t="s">
        <v>58</v>
      </c>
      <c r="P40" s="992"/>
      <c r="Q40" s="991" t="s">
        <v>59</v>
      </c>
      <c r="R40" s="992"/>
      <c r="S40" s="991" t="s">
        <v>60</v>
      </c>
      <c r="T40" s="992"/>
      <c r="U40" s="59" t="s">
        <v>61</v>
      </c>
      <c r="V40" s="60"/>
      <c r="W40" s="61"/>
    </row>
    <row r="41" spans="1:96" ht="12.75" customHeight="1">
      <c r="A41" s="998"/>
      <c r="B41" s="20"/>
      <c r="C41" s="993" t="s">
        <v>62</v>
      </c>
      <c r="D41" s="994"/>
      <c r="E41" s="993" t="s">
        <v>63</v>
      </c>
      <c r="F41" s="994"/>
      <c r="G41" s="993" t="s">
        <v>64</v>
      </c>
      <c r="H41" s="994"/>
      <c r="I41" s="993" t="s">
        <v>65</v>
      </c>
      <c r="J41" s="994"/>
      <c r="K41" s="993" t="s">
        <v>66</v>
      </c>
      <c r="L41" s="994"/>
      <c r="M41" s="993" t="s">
        <v>67</v>
      </c>
      <c r="N41" s="994"/>
      <c r="O41" s="993" t="s">
        <v>68</v>
      </c>
      <c r="P41" s="994"/>
      <c r="Q41" s="993" t="s">
        <v>69</v>
      </c>
      <c r="R41" s="994"/>
      <c r="S41" s="993" t="s">
        <v>70</v>
      </c>
      <c r="T41" s="994"/>
      <c r="U41" s="62" t="s">
        <v>71</v>
      </c>
      <c r="V41" s="63"/>
      <c r="W41" s="64"/>
    </row>
    <row r="42" spans="1:96" s="17" customFormat="1">
      <c r="A42" s="986">
        <f>+A12</f>
        <v>220101</v>
      </c>
      <c r="B42" s="20"/>
      <c r="C42" s="995" t="s">
        <v>73</v>
      </c>
      <c r="D42" s="996"/>
      <c r="E42" s="995" t="s">
        <v>56</v>
      </c>
      <c r="F42" s="996"/>
      <c r="G42" s="995" t="s">
        <v>74</v>
      </c>
      <c r="H42" s="996"/>
      <c r="I42" s="995"/>
      <c r="J42" s="996"/>
      <c r="K42" s="995" t="s">
        <v>75</v>
      </c>
      <c r="L42" s="996"/>
      <c r="M42" s="995"/>
      <c r="N42" s="996"/>
      <c r="O42" s="995" t="s">
        <v>76</v>
      </c>
      <c r="P42" s="996"/>
      <c r="Q42" s="995" t="s">
        <v>77</v>
      </c>
      <c r="R42" s="996"/>
      <c r="S42" s="995" t="s">
        <v>78</v>
      </c>
      <c r="T42" s="996"/>
      <c r="U42" s="65" t="s">
        <v>79</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96" ht="15" customHeight="1">
      <c r="A43" s="1153"/>
      <c r="B43" s="20" t="s">
        <v>80</v>
      </c>
      <c r="C43" s="68" t="s">
        <v>81</v>
      </c>
      <c r="D43" s="23" t="s">
        <v>82</v>
      </c>
      <c r="E43" s="68" t="s">
        <v>81</v>
      </c>
      <c r="F43" s="23" t="s">
        <v>82</v>
      </c>
      <c r="G43" s="68" t="s">
        <v>81</v>
      </c>
      <c r="H43" s="23" t="s">
        <v>82</v>
      </c>
      <c r="I43" s="68" t="s">
        <v>81</v>
      </c>
      <c r="J43" s="23" t="s">
        <v>82</v>
      </c>
      <c r="K43" s="68" t="s">
        <v>81</v>
      </c>
      <c r="L43" s="23" t="s">
        <v>82</v>
      </c>
      <c r="M43" s="68" t="s">
        <v>81</v>
      </c>
      <c r="N43" s="23" t="s">
        <v>82</v>
      </c>
      <c r="O43" s="68" t="s">
        <v>81</v>
      </c>
      <c r="P43" s="23" t="s">
        <v>82</v>
      </c>
      <c r="Q43" s="68" t="s">
        <v>81</v>
      </c>
      <c r="R43" s="23" t="s">
        <v>82</v>
      </c>
      <c r="S43" s="68" t="s">
        <v>81</v>
      </c>
      <c r="T43" s="23" t="s">
        <v>82</v>
      </c>
      <c r="U43" s="69" t="s">
        <v>81</v>
      </c>
      <c r="V43" s="21" t="s">
        <v>82</v>
      </c>
      <c r="W43" s="21" t="s">
        <v>83</v>
      </c>
    </row>
    <row r="44" spans="1:96" s="17" customFormat="1" ht="13.15">
      <c r="A44" s="602" t="s">
        <v>84</v>
      </c>
      <c r="B44" s="19" t="s">
        <v>85</v>
      </c>
      <c r="C44" s="70" t="s">
        <v>86</v>
      </c>
      <c r="D44" s="70" t="s">
        <v>87</v>
      </c>
      <c r="E44" s="70" t="s">
        <v>88</v>
      </c>
      <c r="F44" s="70" t="s">
        <v>89</v>
      </c>
      <c r="G44" s="70" t="s">
        <v>90</v>
      </c>
      <c r="H44" s="70" t="s">
        <v>91</v>
      </c>
      <c r="I44" s="70" t="s">
        <v>92</v>
      </c>
      <c r="J44" s="70" t="s">
        <v>93</v>
      </c>
      <c r="K44" s="70" t="s">
        <v>94</v>
      </c>
      <c r="L44" s="70" t="s">
        <v>95</v>
      </c>
      <c r="M44" s="70" t="s">
        <v>96</v>
      </c>
      <c r="N44" s="70" t="s">
        <v>97</v>
      </c>
      <c r="O44" s="70" t="s">
        <v>98</v>
      </c>
      <c r="P44" s="70" t="s">
        <v>99</v>
      </c>
      <c r="Q44" s="70" t="s">
        <v>100</v>
      </c>
      <c r="R44" s="70" t="s">
        <v>101</v>
      </c>
      <c r="S44" s="70" t="s">
        <v>102</v>
      </c>
      <c r="T44" s="70" t="s">
        <v>103</v>
      </c>
      <c r="U44" s="71" t="s">
        <v>104</v>
      </c>
      <c r="V44" s="71" t="s">
        <v>105</v>
      </c>
      <c r="W44" s="71" t="s">
        <v>106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9">
      <c r="A45" s="987" t="s">
        <v>141</v>
      </c>
      <c r="B45" s="988"/>
      <c r="C45" s="988"/>
      <c r="D45" s="988"/>
      <c r="E45" s="988"/>
      <c r="F45" s="988"/>
      <c r="G45" s="988"/>
      <c r="H45" s="988"/>
      <c r="I45" s="988"/>
      <c r="J45" s="988"/>
      <c r="K45" s="988"/>
      <c r="L45" s="988"/>
      <c r="M45" s="988"/>
      <c r="N45" s="988"/>
      <c r="O45" s="988"/>
      <c r="P45" s="988"/>
      <c r="Q45" s="988"/>
      <c r="R45" s="988"/>
      <c r="S45" s="988"/>
      <c r="T45" s="988"/>
      <c r="U45" s="988"/>
      <c r="V45" s="988"/>
      <c r="W45" s="98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96" ht="17.45">
      <c r="A46" s="548" t="s">
        <v>108</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96" ht="13.15">
      <c r="A47" s="37" t="s">
        <v>109</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3.15">
      <c r="A48" s="823" t="s">
        <v>110</v>
      </c>
      <c r="B48" s="34">
        <v>15</v>
      </c>
      <c r="C48" s="714"/>
      <c r="D48" s="714"/>
      <c r="E48" s="714"/>
      <c r="F48" s="714"/>
      <c r="G48" s="714"/>
      <c r="H48" s="714"/>
      <c r="I48" s="714"/>
      <c r="J48" s="714"/>
      <c r="K48" s="714"/>
      <c r="L48" s="714"/>
      <c r="M48" s="714"/>
      <c r="N48" s="714"/>
      <c r="O48" s="714"/>
      <c r="P48" s="714"/>
      <c r="Q48" s="714"/>
      <c r="R48" s="715"/>
      <c r="S48" s="714"/>
      <c r="T48" s="715"/>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3.15">
      <c r="A49" s="824" t="s">
        <v>112</v>
      </c>
      <c r="B49" s="22" t="s">
        <v>142</v>
      </c>
      <c r="C49" s="830"/>
      <c r="D49" s="830"/>
      <c r="E49" s="830"/>
      <c r="F49" s="830"/>
      <c r="G49" s="830"/>
      <c r="H49" s="830"/>
      <c r="I49" s="830"/>
      <c r="J49" s="830"/>
      <c r="K49" s="830"/>
      <c r="L49" s="830"/>
      <c r="M49" s="830"/>
      <c r="N49" s="830"/>
      <c r="O49" s="830"/>
      <c r="P49" s="830"/>
      <c r="Q49" s="830"/>
      <c r="R49" s="830"/>
      <c r="S49" s="830"/>
      <c r="T49" s="830"/>
      <c r="U49" s="47">
        <f>C49+E49+G49+I49+K49+M49+O49+Q49+S49</f>
        <v>0</v>
      </c>
      <c r="V49" s="47">
        <f>D49+F49+H49+J49+L49+N49+P49+R49+T49</f>
        <v>0</v>
      </c>
      <c r="W49" s="44">
        <f>+V49+U49</f>
        <v>0</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9">
      <c r="A50" s="829" t="s">
        <v>143</v>
      </c>
      <c r="B50" s="822"/>
      <c r="C50" s="831"/>
      <c r="D50" s="831"/>
      <c r="E50" s="831"/>
      <c r="F50" s="831"/>
      <c r="G50" s="831"/>
      <c r="H50" s="831"/>
      <c r="I50" s="831"/>
      <c r="J50" s="831"/>
      <c r="K50" s="831"/>
      <c r="L50" s="831"/>
      <c r="M50" s="831"/>
      <c r="N50" s="831"/>
      <c r="O50" s="831"/>
      <c r="P50" s="831"/>
      <c r="Q50" s="831"/>
      <c r="R50" s="831"/>
      <c r="S50" s="831"/>
      <c r="T50" s="831"/>
      <c r="U50" s="821"/>
      <c r="V50" s="821"/>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3.15">
      <c r="A51" s="825" t="s">
        <v>115</v>
      </c>
      <c r="B51" s="22" t="s">
        <v>144</v>
      </c>
      <c r="C51" s="715"/>
      <c r="D51" s="715"/>
      <c r="E51" s="715"/>
      <c r="F51" s="715"/>
      <c r="G51" s="715"/>
      <c r="H51" s="715"/>
      <c r="I51" s="715"/>
      <c r="J51" s="715"/>
      <c r="K51" s="715"/>
      <c r="L51" s="715"/>
      <c r="M51" s="715"/>
      <c r="N51" s="715"/>
      <c r="O51" s="715"/>
      <c r="P51" s="715"/>
      <c r="Q51" s="715"/>
      <c r="R51" s="715"/>
      <c r="S51" s="715"/>
      <c r="T51" s="715"/>
      <c r="U51" s="47">
        <f t="shared" ref="U51:V56" si="5">C51+E51+G51+I51+K51+M51+O51+Q51+S51</f>
        <v>0</v>
      </c>
      <c r="V51" s="47">
        <f t="shared" si="5"/>
        <v>0</v>
      </c>
      <c r="W51" s="44">
        <f t="shared" ref="W51:W56" si="6">+V51+U51</f>
        <v>0</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3.15">
      <c r="A52" s="825" t="s">
        <v>117</v>
      </c>
      <c r="B52" s="22" t="s">
        <v>145</v>
      </c>
      <c r="C52" s="715"/>
      <c r="D52" s="715"/>
      <c r="E52" s="715"/>
      <c r="F52" s="715"/>
      <c r="G52" s="715"/>
      <c r="H52" s="715"/>
      <c r="I52" s="715"/>
      <c r="J52" s="715"/>
      <c r="K52" s="715"/>
      <c r="L52" s="715"/>
      <c r="M52" s="715"/>
      <c r="N52" s="715"/>
      <c r="O52" s="715"/>
      <c r="P52" s="715"/>
      <c r="Q52" s="715"/>
      <c r="R52" s="715"/>
      <c r="S52" s="715"/>
      <c r="T52" s="715"/>
      <c r="U52" s="47">
        <f t="shared" si="5"/>
        <v>0</v>
      </c>
      <c r="V52" s="47">
        <f t="shared" si="5"/>
        <v>0</v>
      </c>
      <c r="W52" s="44">
        <f t="shared" si="6"/>
        <v>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3.15">
      <c r="A53" s="825" t="s">
        <v>119</v>
      </c>
      <c r="B53" s="22" t="s">
        <v>146</v>
      </c>
      <c r="C53" s="715"/>
      <c r="D53" s="715"/>
      <c r="E53" s="715"/>
      <c r="F53" s="715"/>
      <c r="G53" s="715"/>
      <c r="H53" s="715"/>
      <c r="I53" s="715"/>
      <c r="J53" s="715"/>
      <c r="K53" s="715"/>
      <c r="L53" s="715"/>
      <c r="M53" s="715"/>
      <c r="N53" s="715"/>
      <c r="O53" s="715"/>
      <c r="P53" s="715"/>
      <c r="Q53" s="715"/>
      <c r="R53" s="715"/>
      <c r="S53" s="715"/>
      <c r="T53" s="715"/>
      <c r="U53" s="47">
        <f t="shared" si="5"/>
        <v>0</v>
      </c>
      <c r="V53" s="47">
        <f t="shared" si="5"/>
        <v>0</v>
      </c>
      <c r="W53" s="44">
        <f t="shared" si="6"/>
        <v>0</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3.15">
      <c r="A54" s="825" t="s">
        <v>121</v>
      </c>
      <c r="B54" s="22" t="s">
        <v>147</v>
      </c>
      <c r="C54" s="715"/>
      <c r="D54" s="715"/>
      <c r="E54" s="715"/>
      <c r="F54" s="715"/>
      <c r="G54" s="715"/>
      <c r="H54" s="715"/>
      <c r="I54" s="715"/>
      <c r="J54" s="715"/>
      <c r="K54" s="715"/>
      <c r="L54" s="715"/>
      <c r="M54" s="715"/>
      <c r="N54" s="715"/>
      <c r="O54" s="715"/>
      <c r="P54" s="715"/>
      <c r="Q54" s="715"/>
      <c r="R54" s="715"/>
      <c r="S54" s="715"/>
      <c r="T54" s="715"/>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45">
      <c r="A55" s="547" t="s">
        <v>123</v>
      </c>
      <c r="B55" s="22" t="s">
        <v>148</v>
      </c>
      <c r="C55" s="715"/>
      <c r="D55" s="715"/>
      <c r="E55" s="715"/>
      <c r="F55" s="715"/>
      <c r="G55" s="715"/>
      <c r="H55" s="715"/>
      <c r="I55" s="715"/>
      <c r="J55" s="715"/>
      <c r="K55" s="715"/>
      <c r="L55" s="715"/>
      <c r="M55" s="715"/>
      <c r="N55" s="715"/>
      <c r="O55" s="715"/>
      <c r="P55" s="715"/>
      <c r="Q55" s="715"/>
      <c r="R55" s="715"/>
      <c r="S55" s="715"/>
      <c r="T55" s="715"/>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50" t="s">
        <v>149</v>
      </c>
      <c r="B56" s="551" t="s">
        <v>150</v>
      </c>
      <c r="C56" s="560">
        <f t="shared" ref="C56:P56" si="7">SUM(C48:C55)</f>
        <v>0</v>
      </c>
      <c r="D56" s="560">
        <f t="shared" si="7"/>
        <v>0</v>
      </c>
      <c r="E56" s="560">
        <f t="shared" si="7"/>
        <v>0</v>
      </c>
      <c r="F56" s="560">
        <f t="shared" si="7"/>
        <v>0</v>
      </c>
      <c r="G56" s="560">
        <f t="shared" si="7"/>
        <v>0</v>
      </c>
      <c r="H56" s="560">
        <f t="shared" si="7"/>
        <v>0</v>
      </c>
      <c r="I56" s="560">
        <f t="shared" si="7"/>
        <v>0</v>
      </c>
      <c r="J56" s="560">
        <f t="shared" si="7"/>
        <v>0</v>
      </c>
      <c r="K56" s="560">
        <f t="shared" si="7"/>
        <v>0</v>
      </c>
      <c r="L56" s="560">
        <f t="shared" si="7"/>
        <v>0</v>
      </c>
      <c r="M56" s="560">
        <f t="shared" si="7"/>
        <v>0</v>
      </c>
      <c r="N56" s="560">
        <f t="shared" si="7"/>
        <v>0</v>
      </c>
      <c r="O56" s="560">
        <f t="shared" si="7"/>
        <v>0</v>
      </c>
      <c r="P56" s="560">
        <f t="shared" si="7"/>
        <v>0</v>
      </c>
      <c r="Q56" s="560">
        <f>SUM(Q48:Q55)</f>
        <v>0</v>
      </c>
      <c r="R56" s="560">
        <f>SUM(R48:R55)</f>
        <v>0</v>
      </c>
      <c r="S56" s="560">
        <f>SUM(S48:S55)</f>
        <v>0</v>
      </c>
      <c r="T56" s="560">
        <f>SUM(T48:T55)</f>
        <v>0</v>
      </c>
      <c r="U56" s="552">
        <f t="shared" si="5"/>
        <v>0</v>
      </c>
      <c r="V56" s="552">
        <f t="shared" si="5"/>
        <v>0</v>
      </c>
      <c r="W56" s="553">
        <f t="shared" si="6"/>
        <v>0</v>
      </c>
      <c r="X56" s="608"/>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96" ht="21.75" hidden="1" customHeight="1" thickTop="1">
      <c r="A57" s="548" t="s">
        <v>127</v>
      </c>
      <c r="B57" s="239"/>
      <c r="C57" s="549"/>
      <c r="D57" s="549"/>
      <c r="E57" s="549"/>
      <c r="F57" s="549"/>
      <c r="G57" s="549"/>
      <c r="H57" s="549"/>
      <c r="I57" s="549"/>
      <c r="J57" s="549"/>
      <c r="K57" s="549"/>
      <c r="L57" s="549"/>
      <c r="M57" s="549"/>
      <c r="N57" s="549"/>
      <c r="O57" s="549"/>
      <c r="P57" s="549"/>
      <c r="Q57" s="549"/>
      <c r="R57" s="549"/>
      <c r="S57" s="549"/>
      <c r="T57" s="549"/>
      <c r="U57" s="371"/>
      <c r="V57" s="371"/>
      <c r="W57" s="484"/>
      <c r="X57" s="609"/>
    </row>
    <row r="58" spans="1:96" s="17" customFormat="1" ht="13.15" hidden="1">
      <c r="A58" s="38" t="s">
        <v>128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9" hidden="1" thickBot="1">
      <c r="A59" s="604" t="s">
        <v>130</v>
      </c>
      <c r="B59" s="605">
        <v>24</v>
      </c>
      <c r="C59" s="610"/>
      <c r="D59" s="611"/>
      <c r="E59" s="610"/>
      <c r="F59" s="611"/>
      <c r="G59" s="610"/>
      <c r="H59" s="611"/>
      <c r="I59" s="610"/>
      <c r="J59" s="611"/>
      <c r="K59" s="610"/>
      <c r="L59" s="611"/>
      <c r="M59" s="610"/>
      <c r="N59" s="611"/>
      <c r="O59" s="610"/>
      <c r="P59" s="611"/>
      <c r="Q59" s="611"/>
      <c r="R59" s="611"/>
      <c r="S59" s="611"/>
      <c r="T59" s="611"/>
      <c r="U59" s="297">
        <f>C59+E59+G59+I59+K59+M59+O59</f>
        <v>0</v>
      </c>
      <c r="V59" s="297">
        <f>D59+F59+H59+J59+L59+N59+P59</f>
        <v>0</v>
      </c>
      <c r="W59" s="297">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96" ht="18" thickTop="1">
      <c r="A60" s="548" t="s">
        <v>132</v>
      </c>
      <c r="B60" s="239"/>
      <c r="C60" s="549"/>
      <c r="D60" s="549"/>
      <c r="E60" s="549"/>
      <c r="F60" s="549"/>
      <c r="G60" s="549"/>
      <c r="H60" s="549"/>
      <c r="I60" s="549"/>
      <c r="J60" s="549"/>
      <c r="K60" s="549"/>
      <c r="L60" s="549"/>
      <c r="M60" s="549"/>
      <c r="N60" s="549"/>
      <c r="O60" s="549"/>
      <c r="P60" s="549"/>
      <c r="Q60" s="549"/>
      <c r="R60" s="549"/>
      <c r="S60" s="549"/>
      <c r="T60" s="549"/>
      <c r="U60" s="371"/>
      <c r="V60" s="371"/>
      <c r="W60" s="485"/>
    </row>
    <row r="61" spans="1:96" ht="13.15">
      <c r="A61" s="37" t="s">
        <v>133</v>
      </c>
      <c r="B61" s="242" t="s">
        <v>61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3.15">
      <c r="A62" s="538" t="s">
        <v>134</v>
      </c>
      <c r="B62" s="22" t="s">
        <v>151</v>
      </c>
      <c r="C62" s="40"/>
      <c r="D62" s="41"/>
      <c r="E62" s="40"/>
      <c r="F62" s="41"/>
      <c r="G62" s="40"/>
      <c r="H62" s="41"/>
      <c r="I62" s="40"/>
      <c r="J62" s="41"/>
      <c r="K62" s="40"/>
      <c r="L62" s="41"/>
      <c r="M62" s="40"/>
      <c r="N62" s="41"/>
      <c r="O62" s="40"/>
      <c r="P62" s="41"/>
      <c r="Q62" s="40"/>
      <c r="R62" s="46"/>
      <c r="S62" s="40"/>
      <c r="T62" s="46"/>
      <c r="U62" s="47">
        <f t="shared" ref="U62:V65" si="8">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3.15">
      <c r="A63" s="538" t="s">
        <v>136</v>
      </c>
      <c r="B63" s="34" t="s">
        <v>152</v>
      </c>
      <c r="C63" s="40"/>
      <c r="D63" s="41"/>
      <c r="E63" s="40"/>
      <c r="F63" s="41"/>
      <c r="G63" s="40"/>
      <c r="H63" s="41"/>
      <c r="I63" s="40"/>
      <c r="J63" s="41"/>
      <c r="K63" s="40"/>
      <c r="L63" s="41"/>
      <c r="M63" s="40"/>
      <c r="N63" s="41"/>
      <c r="O63" s="40"/>
      <c r="P63" s="41"/>
      <c r="Q63" s="40"/>
      <c r="R63" s="46"/>
      <c r="S63" s="40"/>
      <c r="T63" s="46"/>
      <c r="U63" s="47">
        <f t="shared" si="8"/>
        <v>0</v>
      </c>
      <c r="V63" s="47">
        <f t="shared" si="8"/>
        <v>0</v>
      </c>
      <c r="W63" s="44">
        <f>+V63+U63</f>
        <v>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45">
      <c r="A64" s="547" t="s">
        <v>137</v>
      </c>
      <c r="B64" s="22" t="s">
        <v>153</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7" t="s">
        <v>154</v>
      </c>
      <c r="B65" s="35" t="s">
        <v>155</v>
      </c>
      <c r="C65" s="47">
        <f t="shared" ref="C65:P65" si="9">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0</v>
      </c>
      <c r="M65" s="47">
        <f t="shared" si="9"/>
        <v>0</v>
      </c>
      <c r="N65" s="47">
        <f t="shared" si="9"/>
        <v>0</v>
      </c>
      <c r="O65" s="47">
        <f t="shared" si="9"/>
        <v>0</v>
      </c>
      <c r="P65" s="47">
        <f t="shared" si="9"/>
        <v>0</v>
      </c>
      <c r="Q65" s="47">
        <f>SUM(Q62:Q64)</f>
        <v>0</v>
      </c>
      <c r="R65" s="47">
        <f>SUM(R62:R64)</f>
        <v>0</v>
      </c>
      <c r="S65" s="47">
        <f>SUM(S62:S64)</f>
        <v>0</v>
      </c>
      <c r="T65" s="47">
        <f>SUM(T62:T64)</f>
        <v>0</v>
      </c>
      <c r="U65" s="552">
        <f t="shared" si="8"/>
        <v>0</v>
      </c>
      <c r="V65" s="552">
        <f t="shared" si="8"/>
        <v>0</v>
      </c>
      <c r="W65" s="51">
        <f>U65+V65</f>
        <v>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96" s="29" customFormat="1" ht="32.25" customHeight="1" thickTop="1">
      <c r="A66" s="554" t="s">
        <v>156</v>
      </c>
      <c r="B66" s="555" t="s">
        <v>157</v>
      </c>
      <c r="C66" s="556">
        <f t="shared" ref="C66:V66" si="10">C65+C56+C35+C26</f>
        <v>0</v>
      </c>
      <c r="D66" s="556">
        <f t="shared" si="10"/>
        <v>0</v>
      </c>
      <c r="E66" s="556">
        <f t="shared" si="10"/>
        <v>0</v>
      </c>
      <c r="F66" s="556">
        <f t="shared" si="10"/>
        <v>0</v>
      </c>
      <c r="G66" s="556">
        <f t="shared" si="10"/>
        <v>0</v>
      </c>
      <c r="H66" s="556">
        <f t="shared" si="10"/>
        <v>0</v>
      </c>
      <c r="I66" s="556">
        <f t="shared" si="10"/>
        <v>0</v>
      </c>
      <c r="J66" s="556">
        <f t="shared" si="10"/>
        <v>0</v>
      </c>
      <c r="K66" s="556">
        <f t="shared" si="10"/>
        <v>0</v>
      </c>
      <c r="L66" s="556">
        <f t="shared" si="10"/>
        <v>0</v>
      </c>
      <c r="M66" s="556">
        <f t="shared" si="10"/>
        <v>0</v>
      </c>
      <c r="N66" s="556">
        <f t="shared" si="10"/>
        <v>0</v>
      </c>
      <c r="O66" s="556">
        <f t="shared" si="10"/>
        <v>0</v>
      </c>
      <c r="P66" s="556">
        <f t="shared" si="10"/>
        <v>0</v>
      </c>
      <c r="Q66" s="556">
        <f>Q65+Q56+Q35+Q26</f>
        <v>0</v>
      </c>
      <c r="R66" s="556">
        <f>R65+R56+R35+R26</f>
        <v>0</v>
      </c>
      <c r="S66" s="556">
        <f>S65+S56+S35+S26</f>
        <v>0</v>
      </c>
      <c r="T66" s="556">
        <f>T65+T56+T35+T26</f>
        <v>0</v>
      </c>
      <c r="U66" s="556">
        <f t="shared" si="10"/>
        <v>0</v>
      </c>
      <c r="V66" s="556">
        <f t="shared" si="10"/>
        <v>0</v>
      </c>
      <c r="W66" s="557">
        <f>U66+V66</f>
        <v>0</v>
      </c>
      <c r="X66" s="39"/>
    </row>
    <row r="67" spans="1:96" ht="24.75" customHeight="1"/>
    <row r="68" spans="1:96" ht="15.6">
      <c r="A68"/>
      <c r="B68"/>
      <c r="C68"/>
      <c r="D68"/>
      <c r="E68"/>
      <c r="F68"/>
      <c r="G68"/>
      <c r="H68"/>
      <c r="I68"/>
      <c r="J68"/>
      <c r="K68"/>
      <c r="L68"/>
      <c r="M68"/>
      <c r="N68"/>
      <c r="O68"/>
      <c r="P68"/>
      <c r="Q68"/>
      <c r="R68"/>
      <c r="S68"/>
      <c r="T68"/>
      <c r="U68"/>
      <c r="V68"/>
      <c r="W68"/>
    </row>
    <row r="69" spans="1:96" ht="15.6">
      <c r="A69"/>
      <c r="B69"/>
      <c r="C69"/>
      <c r="D69"/>
      <c r="E69"/>
      <c r="F69"/>
      <c r="G69"/>
      <c r="H69"/>
      <c r="I69"/>
      <c r="J69"/>
      <c r="K69"/>
      <c r="L69"/>
      <c r="M69"/>
      <c r="N69"/>
      <c r="O69"/>
      <c r="P69"/>
      <c r="Q69"/>
      <c r="R69"/>
      <c r="S69"/>
      <c r="T69"/>
      <c r="U69"/>
      <c r="V69"/>
      <c r="W69"/>
    </row>
    <row r="70" spans="1:96" ht="15.6">
      <c r="A70"/>
      <c r="B70"/>
      <c r="C70"/>
      <c r="D70"/>
      <c r="E70"/>
      <c r="F70"/>
      <c r="G70"/>
      <c r="H70"/>
      <c r="I70"/>
      <c r="J70"/>
      <c r="K70"/>
      <c r="L70"/>
      <c r="M70"/>
      <c r="N70"/>
      <c r="O70"/>
      <c r="P70"/>
      <c r="Q70"/>
      <c r="R70"/>
      <c r="S70"/>
      <c r="T70"/>
      <c r="U70"/>
      <c r="V70"/>
      <c r="W70"/>
    </row>
    <row r="71" spans="1:96" ht="15.6">
      <c r="A71"/>
      <c r="B71"/>
      <c r="C71"/>
      <c r="D71"/>
      <c r="E71"/>
      <c r="F71"/>
      <c r="G71"/>
      <c r="H71"/>
      <c r="I71"/>
      <c r="J71"/>
      <c r="K71"/>
      <c r="L71"/>
      <c r="M71"/>
      <c r="N71"/>
      <c r="O71"/>
      <c r="P71"/>
      <c r="Q71"/>
      <c r="R71"/>
      <c r="S71"/>
      <c r="T71"/>
      <c r="U71"/>
      <c r="V71"/>
      <c r="W71"/>
    </row>
    <row r="72" spans="1:96" ht="15.6">
      <c r="A72"/>
      <c r="B72"/>
      <c r="C72"/>
      <c r="D72"/>
      <c r="E72"/>
      <c r="F72"/>
      <c r="G72"/>
      <c r="H72"/>
      <c r="I72"/>
      <c r="J72"/>
      <c r="K72"/>
      <c r="L72"/>
      <c r="M72"/>
      <c r="N72"/>
      <c r="O72"/>
      <c r="P72"/>
      <c r="Q72"/>
      <c r="R72"/>
      <c r="S72"/>
      <c r="T72"/>
      <c r="U72"/>
      <c r="V72"/>
      <c r="W72"/>
    </row>
    <row r="73" spans="1:96" ht="15.6">
      <c r="A73"/>
      <c r="B73"/>
      <c r="C73"/>
      <c r="D73"/>
      <c r="E73"/>
      <c r="F73"/>
      <c r="G73"/>
      <c r="H73"/>
      <c r="I73"/>
      <c r="J73"/>
      <c r="K73"/>
      <c r="L73"/>
      <c r="M73"/>
      <c r="N73"/>
      <c r="O73"/>
      <c r="P73"/>
      <c r="Q73"/>
      <c r="R73"/>
      <c r="S73"/>
      <c r="T73"/>
      <c r="U73"/>
      <c r="V73"/>
      <c r="W73"/>
    </row>
    <row r="74" spans="1:96" ht="15.6">
      <c r="A74"/>
      <c r="B74"/>
      <c r="C74"/>
      <c r="D74"/>
      <c r="E74"/>
      <c r="F74"/>
      <c r="G74"/>
      <c r="H74"/>
      <c r="I74"/>
      <c r="J74"/>
      <c r="K74"/>
      <c r="L74"/>
      <c r="M74"/>
      <c r="N74"/>
      <c r="O74"/>
      <c r="P74"/>
      <c r="Q74"/>
      <c r="R74"/>
      <c r="S74"/>
      <c r="T74"/>
      <c r="U74"/>
      <c r="V74"/>
      <c r="W74"/>
    </row>
    <row r="75" spans="1:96" ht="15.6">
      <c r="A75"/>
      <c r="B75"/>
      <c r="C75"/>
      <c r="D75"/>
      <c r="E75"/>
      <c r="F75"/>
      <c r="G75"/>
      <c r="H75"/>
      <c r="I75"/>
      <c r="J75"/>
      <c r="K75"/>
      <c r="L75"/>
      <c r="M75"/>
      <c r="N75"/>
      <c r="O75"/>
      <c r="P75"/>
      <c r="Q75"/>
      <c r="R75"/>
      <c r="S75"/>
      <c r="T75"/>
      <c r="U75"/>
      <c r="V75"/>
      <c r="W75"/>
    </row>
    <row r="76" spans="1:96" ht="15.6">
      <c r="A76"/>
      <c r="B76"/>
      <c r="C76"/>
      <c r="D76"/>
      <c r="E76"/>
      <c r="F76"/>
      <c r="G76"/>
      <c r="H76"/>
      <c r="I76"/>
      <c r="J76"/>
      <c r="K76"/>
      <c r="L76"/>
      <c r="M76"/>
      <c r="N76"/>
      <c r="O76"/>
      <c r="P76"/>
      <c r="Q76"/>
      <c r="R76"/>
      <c r="S76"/>
      <c r="T76"/>
      <c r="U76"/>
      <c r="V76"/>
      <c r="W76"/>
    </row>
    <row r="77" spans="1:96" ht="15.6">
      <c r="A77"/>
      <c r="B77"/>
      <c r="C77"/>
      <c r="D77"/>
      <c r="E77"/>
      <c r="F77"/>
      <c r="G77"/>
      <c r="H77"/>
      <c r="I77"/>
      <c r="J77"/>
      <c r="K77"/>
      <c r="L77"/>
      <c r="M77"/>
      <c r="N77"/>
      <c r="O77"/>
      <c r="P77"/>
      <c r="Q77"/>
      <c r="R77"/>
      <c r="S77"/>
      <c r="T77"/>
      <c r="U77"/>
      <c r="V77"/>
      <c r="W77"/>
    </row>
    <row r="78" spans="1:96" ht="15.6">
      <c r="A78"/>
      <c r="B78"/>
      <c r="C78"/>
      <c r="D78"/>
      <c r="E78"/>
      <c r="F78"/>
      <c r="G78"/>
      <c r="H78"/>
      <c r="I78"/>
      <c r="J78"/>
      <c r="K78"/>
      <c r="L78"/>
      <c r="M78"/>
      <c r="N78"/>
      <c r="O78"/>
      <c r="P78"/>
      <c r="Q78"/>
      <c r="R78"/>
      <c r="S78"/>
      <c r="T78"/>
      <c r="U78"/>
      <c r="V78"/>
      <c r="W78"/>
    </row>
    <row r="79" spans="1:96" ht="15.6">
      <c r="A79"/>
      <c r="B79"/>
      <c r="C79"/>
      <c r="D79"/>
      <c r="E79"/>
      <c r="F79"/>
      <c r="G79"/>
      <c r="H79"/>
      <c r="I79"/>
      <c r="J79"/>
      <c r="K79"/>
      <c r="L79"/>
      <c r="M79"/>
      <c r="N79"/>
      <c r="O79"/>
      <c r="P79"/>
      <c r="Q79"/>
      <c r="R79"/>
      <c r="S79"/>
      <c r="T79"/>
      <c r="U79"/>
      <c r="V79"/>
      <c r="W79"/>
    </row>
    <row r="80" spans="1:96" ht="15.6">
      <c r="A80"/>
      <c r="B80"/>
      <c r="C80"/>
      <c r="D80"/>
      <c r="E80"/>
      <c r="F80"/>
      <c r="G80"/>
      <c r="H80"/>
      <c r="I80"/>
      <c r="J80"/>
      <c r="K80"/>
      <c r="L80"/>
      <c r="M80"/>
      <c r="N80"/>
      <c r="O80"/>
      <c r="P80"/>
      <c r="Q80"/>
      <c r="R80"/>
      <c r="S80"/>
      <c r="T80"/>
      <c r="U80"/>
      <c r="V80"/>
      <c r="W80"/>
    </row>
    <row r="81" spans="1:23" ht="15.6">
      <c r="A81"/>
      <c r="B81"/>
      <c r="C81"/>
      <c r="D81"/>
      <c r="E81"/>
      <c r="F81"/>
      <c r="G81"/>
      <c r="H81"/>
      <c r="I81"/>
      <c r="J81"/>
      <c r="K81"/>
      <c r="L81"/>
      <c r="M81"/>
      <c r="N81"/>
      <c r="O81"/>
      <c r="P81"/>
      <c r="Q81"/>
      <c r="R81"/>
      <c r="S81"/>
      <c r="T81"/>
      <c r="U81"/>
      <c r="V81"/>
      <c r="W81"/>
    </row>
    <row r="82" spans="1:23" ht="15.6">
      <c r="A82"/>
      <c r="B82"/>
      <c r="C82"/>
      <c r="D82"/>
      <c r="E82"/>
      <c r="F82"/>
      <c r="G82"/>
      <c r="H82"/>
      <c r="I82"/>
      <c r="J82"/>
      <c r="K82"/>
      <c r="L82"/>
      <c r="M82"/>
      <c r="N82"/>
      <c r="O82"/>
      <c r="P82"/>
      <c r="Q82"/>
      <c r="R82"/>
      <c r="S82"/>
      <c r="T82"/>
      <c r="U82"/>
      <c r="V82"/>
      <c r="W82"/>
    </row>
    <row r="83" spans="1:23" ht="15.6">
      <c r="A83"/>
      <c r="B83"/>
      <c r="C83"/>
      <c r="D83"/>
      <c r="E83"/>
      <c r="F83"/>
      <c r="G83"/>
      <c r="H83"/>
      <c r="I83"/>
      <c r="J83"/>
      <c r="K83"/>
      <c r="L83"/>
      <c r="M83"/>
      <c r="N83"/>
      <c r="O83"/>
      <c r="P83"/>
      <c r="Q83"/>
      <c r="R83"/>
      <c r="S83"/>
      <c r="T83"/>
      <c r="U83"/>
      <c r="V83"/>
      <c r="W83"/>
    </row>
    <row r="84" spans="1:23" ht="15.6">
      <c r="A84"/>
      <c r="B84"/>
      <c r="C84"/>
      <c r="D84"/>
      <c r="E84"/>
      <c r="F84"/>
      <c r="G84"/>
      <c r="H84"/>
      <c r="I84"/>
      <c r="J84"/>
      <c r="K84"/>
      <c r="L84"/>
      <c r="M84"/>
      <c r="N84"/>
      <c r="O84"/>
      <c r="P84"/>
      <c r="Q84"/>
      <c r="R84"/>
      <c r="S84"/>
      <c r="T84"/>
      <c r="U84"/>
      <c r="V84"/>
      <c r="W84"/>
    </row>
    <row r="85" spans="1:23" ht="15.6">
      <c r="A85"/>
      <c r="B85"/>
      <c r="C85"/>
      <c r="D85"/>
      <c r="E85"/>
      <c r="F85"/>
      <c r="G85"/>
      <c r="H85"/>
      <c r="I85"/>
      <c r="J85"/>
      <c r="K85"/>
      <c r="L85"/>
      <c r="M85"/>
      <c r="N85"/>
      <c r="O85"/>
      <c r="P85"/>
      <c r="Q85"/>
      <c r="R85"/>
      <c r="S85"/>
      <c r="T85"/>
      <c r="U85"/>
      <c r="V85"/>
      <c r="W85"/>
    </row>
    <row r="86" spans="1:23" ht="15.6">
      <c r="A86"/>
      <c r="B86"/>
      <c r="C86"/>
      <c r="D86"/>
      <c r="E86"/>
      <c r="F86"/>
      <c r="G86"/>
      <c r="H86"/>
      <c r="I86"/>
      <c r="J86"/>
      <c r="K86"/>
      <c r="L86"/>
      <c r="M86"/>
      <c r="N86"/>
      <c r="O86"/>
      <c r="P86"/>
      <c r="Q86"/>
      <c r="R86"/>
      <c r="S86"/>
      <c r="T86"/>
      <c r="U86"/>
      <c r="V86"/>
      <c r="W86"/>
    </row>
    <row r="87" spans="1:23" ht="15.6">
      <c r="A87"/>
      <c r="B87"/>
      <c r="C87"/>
      <c r="D87"/>
      <c r="E87"/>
      <c r="F87"/>
      <c r="G87"/>
      <c r="H87"/>
      <c r="I87"/>
      <c r="J87"/>
      <c r="K87"/>
      <c r="L87"/>
      <c r="M87"/>
      <c r="N87"/>
      <c r="O87"/>
      <c r="P87"/>
      <c r="Q87"/>
      <c r="R87"/>
      <c r="S87"/>
      <c r="T87"/>
      <c r="U87"/>
      <c r="V87"/>
      <c r="W87"/>
    </row>
    <row r="88" spans="1:23" ht="15.6">
      <c r="A88"/>
      <c r="B88"/>
      <c r="C88"/>
      <c r="D88"/>
      <c r="E88"/>
      <c r="F88"/>
      <c r="G88"/>
      <c r="H88"/>
      <c r="I88"/>
      <c r="J88"/>
      <c r="K88"/>
      <c r="L88"/>
      <c r="M88"/>
      <c r="N88"/>
      <c r="O88"/>
      <c r="P88"/>
      <c r="Q88"/>
      <c r="R88"/>
      <c r="S88"/>
      <c r="T88"/>
      <c r="U88"/>
      <c r="V88"/>
      <c r="W88"/>
    </row>
    <row r="89" spans="1:23" ht="15.6">
      <c r="A89"/>
      <c r="B89"/>
      <c r="C89"/>
      <c r="D89"/>
      <c r="E89"/>
      <c r="F89"/>
      <c r="G89"/>
      <c r="H89"/>
      <c r="I89"/>
      <c r="J89"/>
      <c r="K89"/>
      <c r="L89"/>
      <c r="M89"/>
      <c r="N89"/>
      <c r="O89"/>
      <c r="P89"/>
      <c r="Q89"/>
      <c r="R89"/>
      <c r="S89"/>
      <c r="T89"/>
      <c r="U89"/>
      <c r="V89"/>
      <c r="W89"/>
    </row>
    <row r="90" spans="1:23" ht="15.6">
      <c r="A90"/>
      <c r="B90"/>
      <c r="C90"/>
      <c r="D90"/>
      <c r="E90"/>
      <c r="F90"/>
      <c r="G90"/>
      <c r="H90"/>
      <c r="I90"/>
      <c r="J90"/>
      <c r="K90"/>
      <c r="L90"/>
      <c r="M90"/>
      <c r="N90"/>
      <c r="O90"/>
      <c r="P90"/>
      <c r="Q90"/>
      <c r="R90"/>
      <c r="S90"/>
      <c r="T90"/>
      <c r="U90"/>
      <c r="V90"/>
      <c r="W90"/>
    </row>
    <row r="91" spans="1:23" ht="15.6">
      <c r="A91"/>
      <c r="B91"/>
      <c r="C91"/>
      <c r="D91"/>
      <c r="E91"/>
      <c r="F91"/>
      <c r="G91"/>
      <c r="H91"/>
      <c r="I91"/>
      <c r="J91"/>
      <c r="K91"/>
      <c r="L91"/>
      <c r="M91"/>
      <c r="N91"/>
      <c r="O91"/>
      <c r="P91"/>
      <c r="Q91"/>
      <c r="R91"/>
      <c r="S91"/>
      <c r="T91"/>
      <c r="U91"/>
      <c r="V91"/>
      <c r="W91"/>
    </row>
    <row r="92" spans="1:23" ht="15.6">
      <c r="A92"/>
      <c r="B92"/>
      <c r="C92"/>
      <c r="D92"/>
      <c r="E92"/>
      <c r="F92"/>
      <c r="G92"/>
      <c r="H92"/>
      <c r="I92"/>
      <c r="J92"/>
      <c r="K92"/>
      <c r="L92"/>
      <c r="M92"/>
      <c r="N92"/>
      <c r="O92"/>
      <c r="P92"/>
      <c r="Q92"/>
      <c r="R92"/>
      <c r="S92"/>
      <c r="T92"/>
      <c r="U92"/>
      <c r="V92"/>
      <c r="W92"/>
    </row>
    <row r="93" spans="1:23" ht="15.6">
      <c r="A93"/>
      <c r="B93"/>
      <c r="C93"/>
      <c r="D93"/>
      <c r="E93"/>
      <c r="F93"/>
      <c r="G93"/>
      <c r="H93"/>
      <c r="I93"/>
      <c r="J93"/>
      <c r="K93"/>
      <c r="L93"/>
      <c r="M93"/>
      <c r="N93"/>
      <c r="O93"/>
      <c r="P93"/>
      <c r="Q93"/>
      <c r="R93"/>
      <c r="S93"/>
      <c r="T93"/>
      <c r="U93"/>
      <c r="V93"/>
      <c r="W93"/>
    </row>
    <row r="94" spans="1:23" ht="15.6">
      <c r="A94"/>
      <c r="B94"/>
      <c r="C94"/>
      <c r="D94"/>
      <c r="E94"/>
      <c r="F94"/>
      <c r="G94"/>
      <c r="H94"/>
      <c r="I94"/>
      <c r="J94"/>
      <c r="K94"/>
      <c r="L94"/>
      <c r="M94"/>
      <c r="N94"/>
      <c r="O94"/>
      <c r="P94"/>
      <c r="Q94"/>
      <c r="R94"/>
      <c r="S94"/>
      <c r="T94"/>
      <c r="U94"/>
      <c r="V94"/>
      <c r="W94"/>
    </row>
  </sheetData>
  <mergeCells count="61">
    <mergeCell ref="C42:D42"/>
    <mergeCell ref="E42:F42"/>
    <mergeCell ref="G42:H42"/>
    <mergeCell ref="I42:J42"/>
    <mergeCell ref="S42:T42"/>
    <mergeCell ref="K42:L42"/>
    <mergeCell ref="M42:N42"/>
    <mergeCell ref="O42:P42"/>
    <mergeCell ref="Q42:R42"/>
    <mergeCell ref="M40:N40"/>
    <mergeCell ref="O40:P40"/>
    <mergeCell ref="Q40:R40"/>
    <mergeCell ref="S40:T40"/>
    <mergeCell ref="C41:D41"/>
    <mergeCell ref="E41:F41"/>
    <mergeCell ref="G41:H41"/>
    <mergeCell ref="I41:J41"/>
    <mergeCell ref="K41:L41"/>
    <mergeCell ref="M41:N41"/>
    <mergeCell ref="O41:P41"/>
    <mergeCell ref="Q41:R41"/>
    <mergeCell ref="S41:T41"/>
    <mergeCell ref="C40:D40"/>
    <mergeCell ref="E40:F40"/>
    <mergeCell ref="G40:H40"/>
    <mergeCell ref="I40:J40"/>
    <mergeCell ref="K40:L40"/>
    <mergeCell ref="M11:N11"/>
    <mergeCell ref="O11:P11"/>
    <mergeCell ref="Q11:R11"/>
    <mergeCell ref="S11:T11"/>
    <mergeCell ref="C12:D12"/>
    <mergeCell ref="E12:F12"/>
    <mergeCell ref="G12:H12"/>
    <mergeCell ref="I12:J12"/>
    <mergeCell ref="K12:L12"/>
    <mergeCell ref="M12:N12"/>
    <mergeCell ref="O12:P12"/>
    <mergeCell ref="Q12:R12"/>
    <mergeCell ref="S12:T12"/>
    <mergeCell ref="C11:D11"/>
    <mergeCell ref="E11:F11"/>
    <mergeCell ref="G11:H11"/>
    <mergeCell ref="I11:J11"/>
    <mergeCell ref="K11:L1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s>
  <phoneticPr fontId="54" type="noConversion"/>
  <pageMargins left="0.47" right="0.35" top="0.48" bottom="0.38" header="0" footer="0.25"/>
  <pageSetup scale="94" fitToHeight="2" orientation="landscape" horizontalDpi="4294967292" verticalDpi="300" r:id="rId1"/>
  <headerFooter alignWithMargins="0">
    <oddFooter>Page &amp;P of &amp;N</oddFooter>
  </headerFooter>
  <rowBreaks count="1" manualBreakCount="1">
    <brk id="35"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CR94"/>
  <sheetViews>
    <sheetView showGridLines="0" showZeros="0" defaultGridColor="0" colorId="8" zoomScaleNormal="100" zoomScaleSheetLayoutView="50" workbookViewId="0"/>
  </sheetViews>
  <sheetFormatPr defaultColWidth="0" defaultRowHeight="10.15"/>
  <cols>
    <col min="1" max="1" width="32.375" style="12" customWidth="1"/>
    <col min="2" max="2" width="3" style="11" customWidth="1"/>
    <col min="3" max="3" width="4.125" style="12" customWidth="1"/>
    <col min="4" max="4" width="4.5" style="12" customWidth="1"/>
    <col min="5" max="5" width="4.125" style="12" customWidth="1"/>
    <col min="6" max="6" width="4.5" style="12" customWidth="1"/>
    <col min="7" max="7" width="4.125" style="12" customWidth="1"/>
    <col min="8" max="8" width="4.5" style="12" customWidth="1"/>
    <col min="9" max="9" width="4.125" style="12" customWidth="1"/>
    <col min="10" max="10" width="4.5" style="12" customWidth="1"/>
    <col min="11" max="11" width="4.125" style="12" customWidth="1"/>
    <col min="12" max="12" width="4.5" style="12" customWidth="1"/>
    <col min="13" max="14" width="5.125" style="12" customWidth="1"/>
    <col min="15" max="15" width="4.125" style="12" customWidth="1"/>
    <col min="16" max="20" width="4.5" style="12" customWidth="1"/>
    <col min="21" max="23" width="5.625" style="13" customWidth="1"/>
    <col min="24" max="24" width="2.875" style="12" customWidth="1"/>
    <col min="25" max="53" width="6.625" style="12" hidden="1" customWidth="1"/>
    <col min="54" max="16384" width="0" style="12" hidden="1"/>
  </cols>
  <sheetData>
    <row r="1" spans="1:96" s="3" customFormat="1" ht="23.25" customHeight="1">
      <c r="A1" s="814" t="str">
        <f>Cover!$A$3</f>
        <v>FALL ENROLLMENT 2021</v>
      </c>
      <c r="B1" s="33"/>
      <c r="C1" s="33"/>
      <c r="D1" s="33"/>
      <c r="E1" s="33"/>
      <c r="F1" s="33"/>
      <c r="G1" s="33"/>
      <c r="H1" s="33"/>
      <c r="I1" s="33"/>
      <c r="J1" s="33"/>
      <c r="K1" s="33"/>
      <c r="L1" s="33"/>
      <c r="M1" s="33"/>
      <c r="N1" s="33"/>
      <c r="O1" s="33"/>
      <c r="P1" s="33"/>
      <c r="Q1" s="33"/>
      <c r="R1" s="33"/>
      <c r="S1" s="33"/>
      <c r="T1" s="33"/>
      <c r="U1" s="33"/>
      <c r="V1" s="33"/>
      <c r="W1" s="33"/>
      <c r="X1" s="790">
        <f>IF(COUNT(C18:P25,C28:P29,C32:P34,C48:P55,C58:P59,C62:P64)&gt;0,1,0)</f>
        <v>1</v>
      </c>
    </row>
    <row r="2" spans="1:96" s="4" customFormat="1">
      <c r="A2" s="249" t="str">
        <f>Cover!A62</f>
        <v>2122</v>
      </c>
      <c r="B2" s="56"/>
      <c r="C2" s="56"/>
      <c r="D2" s="56"/>
      <c r="E2" s="56"/>
      <c r="F2" s="56"/>
      <c r="G2" s="56"/>
      <c r="H2" s="56"/>
      <c r="I2" s="56"/>
      <c r="J2" s="56"/>
    </row>
    <row r="3" spans="1:96" s="3" customFormat="1" ht="13.9" thickBot="1">
      <c r="A3" s="802" t="str">
        <f>Cover!$A$8</f>
        <v>Western Connecticut State University</v>
      </c>
      <c r="B3" s="57"/>
      <c r="C3" s="58"/>
      <c r="D3" s="57"/>
      <c r="E3" s="57"/>
      <c r="F3" s="57"/>
      <c r="G3" s="57"/>
      <c r="H3" s="57"/>
      <c r="I3" s="57"/>
      <c r="J3" s="57"/>
      <c r="K3" s="5" t="s">
        <v>48</v>
      </c>
      <c r="M3" s="2"/>
      <c r="N3" s="6" t="str">
        <f>+Cover!$A$10</f>
        <v>Jerry Wilcox</v>
      </c>
      <c r="O3" s="7"/>
      <c r="P3" s="8"/>
      <c r="Q3" s="8"/>
      <c r="R3" s="8"/>
      <c r="S3" s="8"/>
      <c r="T3" s="8"/>
      <c r="U3" s="7"/>
      <c r="X3" s="789"/>
    </row>
    <row r="4" spans="1:96" s="3" customFormat="1" ht="13.9" thickBot="1">
      <c r="A4" s="31">
        <f>Cover!$B$8</f>
        <v>130776</v>
      </c>
      <c r="B4" s="57"/>
      <c r="C4" s="58"/>
      <c r="D4" s="57"/>
      <c r="E4" s="56"/>
      <c r="F4" s="57"/>
      <c r="G4" s="56"/>
      <c r="H4" s="57"/>
      <c r="I4" s="56"/>
      <c r="J4" s="57"/>
      <c r="K4" s="5" t="s">
        <v>49</v>
      </c>
      <c r="M4" s="9"/>
      <c r="N4" s="6" t="str">
        <f>+Cover!$B$10</f>
        <v>Director, Institutional Research and Assessment</v>
      </c>
      <c r="O4" s="7"/>
      <c r="P4" s="8"/>
      <c r="Q4" s="8"/>
      <c r="R4" s="8"/>
      <c r="S4" s="8"/>
      <c r="T4" s="8"/>
      <c r="U4" s="7"/>
    </row>
    <row r="5" spans="1:96" s="3" customFormat="1" ht="16.149999999999999" thickBot="1">
      <c r="A5" s="32" t="str">
        <f>Cover!$C$8</f>
        <v>Danbury</v>
      </c>
      <c r="B5" s="57"/>
      <c r="C5" s="58"/>
      <c r="D5" s="57"/>
      <c r="E5" s="56"/>
      <c r="F5" s="57"/>
      <c r="G5" s="56"/>
      <c r="H5" s="57"/>
      <c r="I5" s="56"/>
      <c r="J5" s="57"/>
      <c r="K5" s="5" t="s">
        <v>50</v>
      </c>
      <c r="M5" s="9"/>
      <c r="N5" s="990" t="str">
        <f>+Cover!$C$10</f>
        <v>203-837-8242</v>
      </c>
      <c r="O5" s="1152"/>
      <c r="P5" s="1152"/>
      <c r="Q5" s="939"/>
      <c r="R5" s="939"/>
      <c r="S5" s="939"/>
      <c r="T5" s="939"/>
      <c r="U5" s="7"/>
    </row>
    <row r="6" spans="1:96" ht="10.5" customHeight="1">
      <c r="A6" s="10"/>
      <c r="B6" s="56"/>
      <c r="C6" s="56"/>
      <c r="D6" s="56"/>
      <c r="E6" s="56"/>
      <c r="F6" s="56"/>
      <c r="G6" s="56"/>
      <c r="H6" s="56"/>
      <c r="I6" s="56"/>
      <c r="J6" s="56"/>
      <c r="L6" s="9"/>
      <c r="N6" s="9"/>
      <c r="P6" s="9"/>
      <c r="Q6" s="9"/>
      <c r="R6" s="9"/>
      <c r="S6" s="9"/>
      <c r="T6" s="9"/>
      <c r="V6" s="14"/>
      <c r="W6" s="14"/>
    </row>
    <row r="7" spans="1:96" ht="20.45">
      <c r="A7" s="537" t="s">
        <v>51</v>
      </c>
    </row>
    <row r="8" spans="1:96">
      <c r="A8" s="10" t="s">
        <v>52</v>
      </c>
    </row>
    <row r="9" spans="1: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96" ht="22.5" customHeight="1">
      <c r="A10" s="1002" t="s">
        <v>169</v>
      </c>
      <c r="B10" s="36"/>
      <c r="C10" s="991" t="s">
        <v>54</v>
      </c>
      <c r="D10" s="992"/>
      <c r="E10" s="991" t="s">
        <v>55</v>
      </c>
      <c r="F10" s="992"/>
      <c r="G10" s="991" t="s">
        <v>56</v>
      </c>
      <c r="H10" s="992"/>
      <c r="I10" s="991"/>
      <c r="J10" s="992"/>
      <c r="K10" s="991" t="s">
        <v>57</v>
      </c>
      <c r="L10" s="992"/>
      <c r="M10" s="991"/>
      <c r="N10" s="992"/>
      <c r="O10" s="991" t="s">
        <v>58</v>
      </c>
      <c r="P10" s="992"/>
      <c r="Q10" s="991" t="s">
        <v>59</v>
      </c>
      <c r="R10" s="992"/>
      <c r="S10" s="991" t="s">
        <v>60</v>
      </c>
      <c r="T10" s="992"/>
      <c r="U10" s="59" t="s">
        <v>61</v>
      </c>
      <c r="V10" s="60"/>
      <c r="W10" s="61"/>
    </row>
    <row r="11" spans="1:96" ht="23.25" customHeight="1">
      <c r="A11" s="1003"/>
      <c r="B11" s="20"/>
      <c r="C11" s="993" t="s">
        <v>62</v>
      </c>
      <c r="D11" s="994"/>
      <c r="E11" s="993" t="s">
        <v>63</v>
      </c>
      <c r="F11" s="994"/>
      <c r="G11" s="993" t="s">
        <v>64</v>
      </c>
      <c r="H11" s="994"/>
      <c r="I11" s="993" t="s">
        <v>65</v>
      </c>
      <c r="J11" s="994"/>
      <c r="K11" s="993" t="s">
        <v>66</v>
      </c>
      <c r="L11" s="994"/>
      <c r="M11" s="993" t="s">
        <v>67</v>
      </c>
      <c r="N11" s="994"/>
      <c r="O11" s="993" t="s">
        <v>68</v>
      </c>
      <c r="P11" s="994"/>
      <c r="Q11" s="993" t="s">
        <v>69</v>
      </c>
      <c r="R11" s="994"/>
      <c r="S11" s="993" t="s">
        <v>70</v>
      </c>
      <c r="T11" s="994"/>
      <c r="U11" s="62" t="s">
        <v>71</v>
      </c>
      <c r="V11" s="63"/>
      <c r="W11" s="64"/>
    </row>
    <row r="12" spans="1:96" s="17" customFormat="1" ht="12" customHeight="1">
      <c r="A12" s="986" t="s">
        <v>170</v>
      </c>
      <c r="B12" s="20"/>
      <c r="C12" s="995" t="s">
        <v>73</v>
      </c>
      <c r="D12" s="996"/>
      <c r="E12" s="995" t="s">
        <v>56</v>
      </c>
      <c r="F12" s="996"/>
      <c r="G12" s="995" t="s">
        <v>74</v>
      </c>
      <c r="H12" s="996"/>
      <c r="I12" s="995"/>
      <c r="J12" s="996"/>
      <c r="K12" s="995" t="s">
        <v>75</v>
      </c>
      <c r="L12" s="996"/>
      <c r="M12" s="995"/>
      <c r="N12" s="996"/>
      <c r="O12" s="995" t="s">
        <v>76</v>
      </c>
      <c r="P12" s="996"/>
      <c r="Q12" s="995" t="s">
        <v>77</v>
      </c>
      <c r="R12" s="996"/>
      <c r="S12" s="995" t="s">
        <v>78</v>
      </c>
      <c r="T12" s="996"/>
      <c r="U12" s="65" t="s">
        <v>79</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7.25" customHeight="1">
      <c r="A13" s="1153"/>
      <c r="B13" s="20" t="s">
        <v>80</v>
      </c>
      <c r="C13" s="68" t="s">
        <v>81</v>
      </c>
      <c r="D13" s="23" t="s">
        <v>82</v>
      </c>
      <c r="E13" s="68" t="s">
        <v>81</v>
      </c>
      <c r="F13" s="23" t="s">
        <v>82</v>
      </c>
      <c r="G13" s="68" t="s">
        <v>81</v>
      </c>
      <c r="H13" s="23" t="s">
        <v>82</v>
      </c>
      <c r="I13" s="68" t="s">
        <v>81</v>
      </c>
      <c r="J13" s="23" t="s">
        <v>82</v>
      </c>
      <c r="K13" s="68" t="s">
        <v>81</v>
      </c>
      <c r="L13" s="23" t="s">
        <v>82</v>
      </c>
      <c r="M13" s="68" t="s">
        <v>81</v>
      </c>
      <c r="N13" s="23" t="s">
        <v>82</v>
      </c>
      <c r="O13" s="68" t="s">
        <v>81</v>
      </c>
      <c r="P13" s="23" t="s">
        <v>82</v>
      </c>
      <c r="Q13" s="68" t="s">
        <v>81</v>
      </c>
      <c r="R13" s="23" t="s">
        <v>82</v>
      </c>
      <c r="S13" s="68" t="s">
        <v>81</v>
      </c>
      <c r="T13" s="23" t="s">
        <v>82</v>
      </c>
      <c r="U13" s="69" t="s">
        <v>81</v>
      </c>
      <c r="V13" s="21" t="s">
        <v>82</v>
      </c>
      <c r="W13" s="21" t="s">
        <v>83</v>
      </c>
    </row>
    <row r="14" spans="1:96" s="17" customFormat="1" ht="14.25" customHeight="1">
      <c r="A14" s="601" t="s">
        <v>84</v>
      </c>
      <c r="B14" s="20" t="s">
        <v>85</v>
      </c>
      <c r="C14" s="70" t="s">
        <v>86</v>
      </c>
      <c r="D14" s="70" t="s">
        <v>87</v>
      </c>
      <c r="E14" s="70" t="s">
        <v>88</v>
      </c>
      <c r="F14" s="70" t="s">
        <v>89</v>
      </c>
      <c r="G14" s="70" t="s">
        <v>90</v>
      </c>
      <c r="H14" s="70" t="s">
        <v>91</v>
      </c>
      <c r="I14" s="70" t="s">
        <v>92</v>
      </c>
      <c r="J14" s="70" t="s">
        <v>93</v>
      </c>
      <c r="K14" s="70" t="s">
        <v>94</v>
      </c>
      <c r="L14" s="70" t="s">
        <v>95</v>
      </c>
      <c r="M14" s="70" t="s">
        <v>96</v>
      </c>
      <c r="N14" s="70" t="s">
        <v>97</v>
      </c>
      <c r="O14" s="70" t="s">
        <v>98</v>
      </c>
      <c r="P14" s="70" t="s">
        <v>99</v>
      </c>
      <c r="Q14" s="70" t="s">
        <v>100</v>
      </c>
      <c r="R14" s="70" t="s">
        <v>101</v>
      </c>
      <c r="S14" s="70" t="s">
        <v>102</v>
      </c>
      <c r="T14" s="70" t="s">
        <v>103</v>
      </c>
      <c r="U14" s="71" t="s">
        <v>104</v>
      </c>
      <c r="V14" s="71" t="s">
        <v>105</v>
      </c>
      <c r="W14" s="71" t="s">
        <v>106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987" t="s">
        <v>107</v>
      </c>
      <c r="B15" s="988"/>
      <c r="C15" s="988"/>
      <c r="D15" s="988"/>
      <c r="E15" s="988"/>
      <c r="F15" s="988"/>
      <c r="G15" s="988"/>
      <c r="H15" s="988"/>
      <c r="I15" s="988"/>
      <c r="J15" s="988"/>
      <c r="K15" s="988"/>
      <c r="L15" s="988"/>
      <c r="M15" s="988"/>
      <c r="N15" s="988"/>
      <c r="O15" s="988"/>
      <c r="P15" s="988"/>
      <c r="Q15" s="988"/>
      <c r="R15" s="988"/>
      <c r="S15" s="988"/>
      <c r="T15" s="988"/>
      <c r="U15" s="988"/>
      <c r="V15" s="988"/>
      <c r="W15" s="98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96" ht="17.45">
      <c r="A16" s="548" t="s">
        <v>108</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96" ht="13.15">
      <c r="A17" s="37" t="s">
        <v>109</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4.1" customHeight="1">
      <c r="A18" s="823" t="s">
        <v>110</v>
      </c>
      <c r="B18" s="34" t="s">
        <v>111</v>
      </c>
      <c r="C18" s="40"/>
      <c r="D18" s="41"/>
      <c r="E18" s="40">
        <v>2</v>
      </c>
      <c r="F18" s="41">
        <v>3</v>
      </c>
      <c r="G18" s="40"/>
      <c r="H18" s="41"/>
      <c r="I18" s="40">
        <v>2</v>
      </c>
      <c r="J18" s="41">
        <v>2</v>
      </c>
      <c r="K18" s="40">
        <v>2</v>
      </c>
      <c r="L18" s="41">
        <v>8</v>
      </c>
      <c r="M18" s="40">
        <v>4</v>
      </c>
      <c r="N18" s="41">
        <v>9</v>
      </c>
      <c r="O18" s="40"/>
      <c r="P18" s="41"/>
      <c r="Q18" s="40"/>
      <c r="R18" s="46"/>
      <c r="S18" s="40"/>
      <c r="T18" s="46">
        <v>1</v>
      </c>
      <c r="U18" s="47">
        <f>C18+E18+G18+I18+K18+M18+O18+Q18+S18</f>
        <v>10</v>
      </c>
      <c r="V18" s="47">
        <f>D18+F18+H18+J18+L18+N18+P18+R18+T18</f>
        <v>23</v>
      </c>
      <c r="W18" s="44">
        <f>+V18+U18</f>
        <v>33</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4.1" customHeight="1">
      <c r="A19" s="824" t="s">
        <v>112</v>
      </c>
      <c r="B19" s="820" t="s">
        <v>113</v>
      </c>
      <c r="C19" s="40"/>
      <c r="D19" s="41"/>
      <c r="E19" s="40"/>
      <c r="F19" s="41">
        <v>2</v>
      </c>
      <c r="G19" s="40"/>
      <c r="H19" s="41"/>
      <c r="I19" s="40"/>
      <c r="J19" s="41"/>
      <c r="K19" s="40">
        <v>1</v>
      </c>
      <c r="L19" s="41">
        <v>2</v>
      </c>
      <c r="M19" s="40">
        <v>1</v>
      </c>
      <c r="N19" s="41">
        <v>3</v>
      </c>
      <c r="O19" s="40"/>
      <c r="P19" s="41"/>
      <c r="Q19" s="40"/>
      <c r="R19" s="46"/>
      <c r="S19" s="40">
        <v>1</v>
      </c>
      <c r="T19" s="46"/>
      <c r="U19" s="47">
        <f>C19+E19+G19+I19+K19+M19+O19+Q19+S19</f>
        <v>3</v>
      </c>
      <c r="V19" s="47">
        <f>D19+F19+H19+J19+L19+N19+P19+R19+T19</f>
        <v>7</v>
      </c>
      <c r="W19" s="618">
        <f>+V19+U19</f>
        <v>10</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4.1" customHeight="1">
      <c r="A20" s="829" t="s">
        <v>114</v>
      </c>
      <c r="B20" s="822"/>
      <c r="C20" s="136"/>
      <c r="D20" s="136"/>
      <c r="E20" s="136"/>
      <c r="F20" s="136"/>
      <c r="G20" s="136"/>
      <c r="H20" s="136"/>
      <c r="I20" s="136"/>
      <c r="J20" s="136"/>
      <c r="K20" s="136"/>
      <c r="L20" s="136"/>
      <c r="M20" s="136"/>
      <c r="N20" s="136"/>
      <c r="O20" s="136"/>
      <c r="P20" s="136"/>
      <c r="Q20" s="136"/>
      <c r="R20" s="136"/>
      <c r="S20" s="136"/>
      <c r="T20" s="136"/>
      <c r="U20" s="821"/>
      <c r="V20" s="821"/>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4.1" customHeight="1">
      <c r="A21" s="825" t="s">
        <v>115</v>
      </c>
      <c r="B21" s="22" t="s">
        <v>116</v>
      </c>
      <c r="C21" s="40"/>
      <c r="D21" s="41"/>
      <c r="E21" s="40"/>
      <c r="F21" s="41">
        <v>4</v>
      </c>
      <c r="G21" s="40"/>
      <c r="H21" s="41"/>
      <c r="I21" s="40"/>
      <c r="J21" s="41">
        <v>5</v>
      </c>
      <c r="K21" s="40">
        <v>6</v>
      </c>
      <c r="L21" s="41">
        <v>15</v>
      </c>
      <c r="M21" s="40">
        <v>5</v>
      </c>
      <c r="N21" s="41">
        <v>10</v>
      </c>
      <c r="O21" s="40"/>
      <c r="P21" s="41">
        <v>1</v>
      </c>
      <c r="Q21" s="40"/>
      <c r="R21" s="46"/>
      <c r="S21" s="40"/>
      <c r="T21" s="46"/>
      <c r="U21" s="47">
        <f t="shared" ref="U21:V26" si="0">C21+E21+G21+I21+K21+M21+O21+Q21+S21</f>
        <v>11</v>
      </c>
      <c r="V21" s="47">
        <f t="shared" si="0"/>
        <v>35</v>
      </c>
      <c r="W21" s="49">
        <f t="shared" ref="W21:W26" si="1">+V21+U21</f>
        <v>46</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4.1" customHeight="1">
      <c r="A22" s="825" t="s">
        <v>117</v>
      </c>
      <c r="B22" s="22" t="s">
        <v>118</v>
      </c>
      <c r="C22" s="40"/>
      <c r="D22" s="41"/>
      <c r="E22" s="40"/>
      <c r="F22" s="41">
        <v>1</v>
      </c>
      <c r="G22" s="40"/>
      <c r="H22" s="41"/>
      <c r="I22" s="40">
        <v>1</v>
      </c>
      <c r="J22" s="41">
        <v>3</v>
      </c>
      <c r="K22" s="40">
        <v>2</v>
      </c>
      <c r="L22" s="41">
        <v>7</v>
      </c>
      <c r="M22" s="40">
        <v>9</v>
      </c>
      <c r="N22" s="41">
        <v>6</v>
      </c>
      <c r="O22" s="40">
        <v>1</v>
      </c>
      <c r="P22" s="41"/>
      <c r="Q22" s="40"/>
      <c r="R22" s="46"/>
      <c r="S22" s="40">
        <v>1</v>
      </c>
      <c r="T22" s="46">
        <v>1</v>
      </c>
      <c r="U22" s="47">
        <f t="shared" si="0"/>
        <v>14</v>
      </c>
      <c r="V22" s="47">
        <f t="shared" si="0"/>
        <v>18</v>
      </c>
      <c r="W22" s="44">
        <f t="shared" si="1"/>
        <v>32</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4.1" customHeight="1">
      <c r="A23" s="825" t="s">
        <v>119</v>
      </c>
      <c r="B23" s="22" t="s">
        <v>120</v>
      </c>
      <c r="C23" s="40"/>
      <c r="D23" s="41"/>
      <c r="E23" s="40">
        <v>2</v>
      </c>
      <c r="F23" s="41"/>
      <c r="G23" s="40"/>
      <c r="H23" s="41"/>
      <c r="I23" s="40"/>
      <c r="J23" s="41">
        <v>3</v>
      </c>
      <c r="K23" s="40">
        <v>2</v>
      </c>
      <c r="L23" s="41">
        <v>1</v>
      </c>
      <c r="M23" s="40">
        <v>7</v>
      </c>
      <c r="N23" s="41">
        <v>7</v>
      </c>
      <c r="O23" s="40"/>
      <c r="P23" s="41"/>
      <c r="Q23" s="40"/>
      <c r="R23" s="46"/>
      <c r="S23" s="40">
        <v>1</v>
      </c>
      <c r="T23" s="46"/>
      <c r="U23" s="47">
        <f t="shared" si="0"/>
        <v>12</v>
      </c>
      <c r="V23" s="47">
        <f t="shared" si="0"/>
        <v>11</v>
      </c>
      <c r="W23" s="44">
        <f t="shared" si="1"/>
        <v>23</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4.1" customHeight="1">
      <c r="A24" s="825" t="s">
        <v>121</v>
      </c>
      <c r="B24" s="22" t="s">
        <v>122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7" t="s">
        <v>123</v>
      </c>
      <c r="B25" s="22" t="s">
        <v>124</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40.15" thickBot="1">
      <c r="A26" s="550" t="s">
        <v>125</v>
      </c>
      <c r="B26" s="551" t="s">
        <v>126</v>
      </c>
      <c r="C26" s="552">
        <f t="shared" ref="C26:P26" si="2">SUM(C18:C25)</f>
        <v>0</v>
      </c>
      <c r="D26" s="552">
        <f t="shared" si="2"/>
        <v>0</v>
      </c>
      <c r="E26" s="552">
        <f t="shared" si="2"/>
        <v>4</v>
      </c>
      <c r="F26" s="552">
        <f t="shared" si="2"/>
        <v>10</v>
      </c>
      <c r="G26" s="552">
        <f t="shared" si="2"/>
        <v>0</v>
      </c>
      <c r="H26" s="552">
        <f t="shared" si="2"/>
        <v>0</v>
      </c>
      <c r="I26" s="552">
        <f t="shared" si="2"/>
        <v>3</v>
      </c>
      <c r="J26" s="552">
        <f t="shared" si="2"/>
        <v>13</v>
      </c>
      <c r="K26" s="552">
        <f t="shared" si="2"/>
        <v>13</v>
      </c>
      <c r="L26" s="552">
        <f t="shared" si="2"/>
        <v>33</v>
      </c>
      <c r="M26" s="552">
        <f t="shared" si="2"/>
        <v>26</v>
      </c>
      <c r="N26" s="552">
        <f t="shared" si="2"/>
        <v>35</v>
      </c>
      <c r="O26" s="552">
        <f t="shared" si="2"/>
        <v>1</v>
      </c>
      <c r="P26" s="552">
        <f t="shared" si="2"/>
        <v>1</v>
      </c>
      <c r="Q26" s="552">
        <f>SUM(Q18:Q25)</f>
        <v>0</v>
      </c>
      <c r="R26" s="552">
        <f>SUM(R18:R25)</f>
        <v>0</v>
      </c>
      <c r="S26" s="552">
        <f>SUM(S18:S25)</f>
        <v>3</v>
      </c>
      <c r="T26" s="552">
        <f>SUM(T18:T25)</f>
        <v>2</v>
      </c>
      <c r="U26" s="552">
        <f t="shared" si="0"/>
        <v>50</v>
      </c>
      <c r="V26" s="552">
        <f t="shared" si="0"/>
        <v>94</v>
      </c>
      <c r="W26" s="553">
        <f t="shared" si="1"/>
        <v>144</v>
      </c>
      <c r="X26" s="608"/>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96" ht="18" hidden="1" customHeight="1" thickTop="1">
      <c r="A27" s="548" t="s">
        <v>127</v>
      </c>
      <c r="B27" s="239"/>
      <c r="C27" s="549"/>
      <c r="D27" s="549"/>
      <c r="E27" s="549"/>
      <c r="F27" s="549"/>
      <c r="G27" s="549"/>
      <c r="H27" s="549"/>
      <c r="I27" s="549"/>
      <c r="J27" s="549"/>
      <c r="K27" s="549"/>
      <c r="L27" s="549"/>
      <c r="M27" s="549"/>
      <c r="N27" s="549"/>
      <c r="O27" s="549"/>
      <c r="P27" s="549"/>
      <c r="Q27" s="549"/>
      <c r="R27" s="549"/>
      <c r="S27" s="549"/>
      <c r="T27" s="549"/>
      <c r="U27" s="371"/>
      <c r="V27" s="371"/>
      <c r="W27" s="485"/>
      <c r="X27" s="609"/>
    </row>
    <row r="28" spans="1:96" s="17" customFormat="1" ht="13.15" hidden="1">
      <c r="A28" s="38" t="s">
        <v>128</v>
      </c>
      <c r="B28" s="34" t="s">
        <v>129</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9" hidden="1" thickBot="1">
      <c r="A29" s="604" t="s">
        <v>130</v>
      </c>
      <c r="B29" s="605" t="s">
        <v>131</v>
      </c>
      <c r="C29" s="606"/>
      <c r="D29" s="607"/>
      <c r="E29" s="606"/>
      <c r="F29" s="607"/>
      <c r="G29" s="606"/>
      <c r="H29" s="607"/>
      <c r="I29" s="606"/>
      <c r="J29" s="607"/>
      <c r="K29" s="606"/>
      <c r="L29" s="607"/>
      <c r="M29" s="606"/>
      <c r="N29" s="607"/>
      <c r="O29" s="606"/>
      <c r="P29" s="607"/>
      <c r="Q29" s="607"/>
      <c r="R29" s="607"/>
      <c r="S29" s="607"/>
      <c r="T29" s="607"/>
      <c r="U29" s="299">
        <f>C29+E29+G29+I29+K29+M29+O29</f>
        <v>0</v>
      </c>
      <c r="V29" s="299">
        <f>D29+F29+H29+J29+L29+N29+P29</f>
        <v>0</v>
      </c>
      <c r="W29" s="297">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96" ht="18" thickTop="1">
      <c r="A30" s="548" t="s">
        <v>132</v>
      </c>
      <c r="B30" s="239"/>
      <c r="C30" s="549"/>
      <c r="D30" s="549"/>
      <c r="E30" s="549"/>
      <c r="F30" s="549"/>
      <c r="G30" s="549"/>
      <c r="H30" s="549"/>
      <c r="I30" s="549"/>
      <c r="J30" s="549"/>
      <c r="K30" s="549"/>
      <c r="L30" s="549"/>
      <c r="M30" s="549"/>
      <c r="N30" s="549"/>
      <c r="O30" s="549"/>
      <c r="P30" s="549"/>
      <c r="Q30" s="549"/>
      <c r="R30" s="549"/>
      <c r="S30" s="549"/>
      <c r="T30" s="549"/>
      <c r="U30" s="371"/>
      <c r="V30" s="371"/>
      <c r="W30" s="485"/>
    </row>
    <row r="31" spans="1:96" ht="13.15">
      <c r="A31" s="37" t="s">
        <v>133</v>
      </c>
      <c r="B31" s="242" t="s">
        <v>61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3.15">
      <c r="A32" s="538" t="s">
        <v>134</v>
      </c>
      <c r="B32" s="22" t="s">
        <v>135</v>
      </c>
      <c r="C32" s="40"/>
      <c r="D32" s="41"/>
      <c r="E32" s="40"/>
      <c r="F32" s="41"/>
      <c r="G32" s="40"/>
      <c r="H32" s="41"/>
      <c r="I32" s="40"/>
      <c r="J32" s="41"/>
      <c r="K32" s="40"/>
      <c r="L32" s="41"/>
      <c r="M32" s="40"/>
      <c r="N32" s="41"/>
      <c r="O32" s="40"/>
      <c r="P32" s="41"/>
      <c r="Q32" s="40"/>
      <c r="R32" s="46"/>
      <c r="S32" s="40"/>
      <c r="T32" s="46"/>
      <c r="U32" s="47">
        <f t="shared" ref="U32:V35" si="3">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3.15">
      <c r="A33" s="538" t="s">
        <v>136</v>
      </c>
      <c r="B33" s="22">
        <v>12</v>
      </c>
      <c r="C33" s="40"/>
      <c r="D33" s="41"/>
      <c r="E33" s="40"/>
      <c r="F33" s="41"/>
      <c r="G33" s="40"/>
      <c r="H33" s="41"/>
      <c r="I33" s="40"/>
      <c r="J33" s="41"/>
      <c r="K33" s="40"/>
      <c r="L33" s="41"/>
      <c r="M33" s="40">
        <v>1</v>
      </c>
      <c r="N33" s="41"/>
      <c r="O33" s="40"/>
      <c r="P33" s="41"/>
      <c r="Q33" s="40"/>
      <c r="R33" s="46"/>
      <c r="S33" s="40"/>
      <c r="T33" s="46"/>
      <c r="U33" s="47">
        <f t="shared" si="3"/>
        <v>1</v>
      </c>
      <c r="V33" s="47">
        <f t="shared" si="3"/>
        <v>0</v>
      </c>
      <c r="W33" s="44">
        <f>+V33+U33</f>
        <v>1</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39.6">
      <c r="A34" s="547" t="s">
        <v>137</v>
      </c>
      <c r="B34" s="22" t="s">
        <v>138</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6" t="s">
        <v>139</v>
      </c>
      <c r="B35" s="24" t="s">
        <v>140</v>
      </c>
      <c r="C35" s="47">
        <f>SUM(C32:C34)</f>
        <v>0</v>
      </c>
      <c r="D35" s="47">
        <f t="shared" ref="D35:P35" si="4">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1</v>
      </c>
      <c r="N35" s="47">
        <f t="shared" si="4"/>
        <v>0</v>
      </c>
      <c r="O35" s="47">
        <f t="shared" si="4"/>
        <v>0</v>
      </c>
      <c r="P35" s="47">
        <f t="shared" si="4"/>
        <v>0</v>
      </c>
      <c r="Q35" s="47">
        <f>SUM(Q32:Q34)</f>
        <v>0</v>
      </c>
      <c r="R35" s="47">
        <f>SUM(R32:R34)</f>
        <v>0</v>
      </c>
      <c r="S35" s="47">
        <f>SUM(S32:S34)</f>
        <v>0</v>
      </c>
      <c r="T35" s="47">
        <f>SUM(T32:T34)</f>
        <v>0</v>
      </c>
      <c r="U35" s="47">
        <f t="shared" si="3"/>
        <v>1</v>
      </c>
      <c r="V35" s="47">
        <f t="shared" si="3"/>
        <v>0</v>
      </c>
      <c r="W35" s="49">
        <f>U35+V35</f>
        <v>1</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spans="1:96" ht="25.5" customHeight="1"/>
    <row r="37" spans="1:96" ht="15.6">
      <c r="A37" s="483" t="str">
        <f>+A42&amp;" PART A (Continued)"</f>
        <v>260000 PART A (Continued)</v>
      </c>
      <c r="B37" s="26" t="str">
        <f>A1</f>
        <v>FALL ENROLLMENT 2021</v>
      </c>
      <c r="C37" s="27"/>
      <c r="D37" s="27"/>
      <c r="E37" s="27"/>
      <c r="F37" s="27"/>
      <c r="G37" s="27"/>
      <c r="H37" s="27"/>
      <c r="I37" s="27"/>
      <c r="J37" s="27"/>
      <c r="K37" s="27"/>
      <c r="L37" s="27"/>
      <c r="M37" s="27"/>
      <c r="N37" s="27"/>
      <c r="O37" s="27"/>
      <c r="P37" s="27"/>
      <c r="Q37" s="27"/>
      <c r="R37" s="27"/>
      <c r="S37" s="27"/>
      <c r="T37" s="27"/>
      <c r="U37" s="13" t="s">
        <v>61</v>
      </c>
    </row>
    <row r="38" spans="1:96" ht="15.6">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3.15">
      <c r="A39" s="28" t="s">
        <v>61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96" ht="11.25" customHeight="1">
      <c r="A40" s="1002" t="str">
        <f>+A10</f>
        <v>BIOLOGICAL &amp; BIO-MEDICAL SCIENCES</v>
      </c>
      <c r="B40" s="36"/>
      <c r="C40" s="991" t="s">
        <v>54</v>
      </c>
      <c r="D40" s="992"/>
      <c r="E40" s="991" t="s">
        <v>55</v>
      </c>
      <c r="F40" s="992"/>
      <c r="G40" s="991" t="s">
        <v>56</v>
      </c>
      <c r="H40" s="992"/>
      <c r="I40" s="991"/>
      <c r="J40" s="992"/>
      <c r="K40" s="991" t="s">
        <v>57</v>
      </c>
      <c r="L40" s="992"/>
      <c r="M40" s="991"/>
      <c r="N40" s="992"/>
      <c r="O40" s="991" t="s">
        <v>58</v>
      </c>
      <c r="P40" s="992"/>
      <c r="Q40" s="991" t="s">
        <v>59</v>
      </c>
      <c r="R40" s="992"/>
      <c r="S40" s="991" t="s">
        <v>60</v>
      </c>
      <c r="T40" s="992"/>
      <c r="U40" s="59" t="s">
        <v>61</v>
      </c>
      <c r="V40" s="60"/>
      <c r="W40" s="61"/>
    </row>
    <row r="41" spans="1:96" ht="33.75" customHeight="1">
      <c r="A41" s="1003"/>
      <c r="B41" s="20"/>
      <c r="C41" s="993" t="s">
        <v>62</v>
      </c>
      <c r="D41" s="994"/>
      <c r="E41" s="993" t="s">
        <v>63</v>
      </c>
      <c r="F41" s="994"/>
      <c r="G41" s="993" t="s">
        <v>64</v>
      </c>
      <c r="H41" s="994"/>
      <c r="I41" s="993" t="s">
        <v>65</v>
      </c>
      <c r="J41" s="994"/>
      <c r="K41" s="993" t="s">
        <v>66</v>
      </c>
      <c r="L41" s="994"/>
      <c r="M41" s="993" t="s">
        <v>67</v>
      </c>
      <c r="N41" s="994"/>
      <c r="O41" s="993" t="s">
        <v>68</v>
      </c>
      <c r="P41" s="994"/>
      <c r="Q41" s="993" t="s">
        <v>69</v>
      </c>
      <c r="R41" s="994"/>
      <c r="S41" s="993" t="s">
        <v>70</v>
      </c>
      <c r="T41" s="994"/>
      <c r="U41" s="62" t="s">
        <v>71</v>
      </c>
      <c r="V41" s="63"/>
      <c r="W41" s="64"/>
    </row>
    <row r="42" spans="1:96" s="17" customFormat="1">
      <c r="A42" s="986" t="str">
        <f>+A12</f>
        <v>260000</v>
      </c>
      <c r="B42" s="20"/>
      <c r="C42" s="995" t="s">
        <v>73</v>
      </c>
      <c r="D42" s="996"/>
      <c r="E42" s="995" t="s">
        <v>56</v>
      </c>
      <c r="F42" s="996"/>
      <c r="G42" s="995" t="s">
        <v>74</v>
      </c>
      <c r="H42" s="996"/>
      <c r="I42" s="995"/>
      <c r="J42" s="996"/>
      <c r="K42" s="995" t="s">
        <v>75</v>
      </c>
      <c r="L42" s="996"/>
      <c r="M42" s="995"/>
      <c r="N42" s="996"/>
      <c r="O42" s="995" t="s">
        <v>76</v>
      </c>
      <c r="P42" s="996"/>
      <c r="Q42" s="995" t="s">
        <v>77</v>
      </c>
      <c r="R42" s="996"/>
      <c r="S42" s="995" t="s">
        <v>78</v>
      </c>
      <c r="T42" s="996"/>
      <c r="U42" s="65" t="s">
        <v>79</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96" ht="15" customHeight="1">
      <c r="A43" s="1153"/>
      <c r="B43" s="20" t="s">
        <v>80</v>
      </c>
      <c r="C43" s="68" t="s">
        <v>81</v>
      </c>
      <c r="D43" s="23" t="s">
        <v>82</v>
      </c>
      <c r="E43" s="68" t="s">
        <v>81</v>
      </c>
      <c r="F43" s="23" t="s">
        <v>82</v>
      </c>
      <c r="G43" s="68" t="s">
        <v>81</v>
      </c>
      <c r="H43" s="23" t="s">
        <v>82</v>
      </c>
      <c r="I43" s="68" t="s">
        <v>81</v>
      </c>
      <c r="J43" s="23" t="s">
        <v>82</v>
      </c>
      <c r="K43" s="68" t="s">
        <v>81</v>
      </c>
      <c r="L43" s="23" t="s">
        <v>82</v>
      </c>
      <c r="M43" s="68" t="s">
        <v>81</v>
      </c>
      <c r="N43" s="23" t="s">
        <v>82</v>
      </c>
      <c r="O43" s="68" t="s">
        <v>81</v>
      </c>
      <c r="P43" s="23" t="s">
        <v>82</v>
      </c>
      <c r="Q43" s="68" t="s">
        <v>81</v>
      </c>
      <c r="R43" s="23" t="s">
        <v>82</v>
      </c>
      <c r="S43" s="68" t="s">
        <v>81</v>
      </c>
      <c r="T43" s="23" t="s">
        <v>82</v>
      </c>
      <c r="U43" s="69" t="s">
        <v>81</v>
      </c>
      <c r="V43" s="21" t="s">
        <v>82</v>
      </c>
      <c r="W43" s="21" t="s">
        <v>83</v>
      </c>
    </row>
    <row r="44" spans="1:96" s="17" customFormat="1" ht="13.15">
      <c r="A44" s="602" t="s">
        <v>84</v>
      </c>
      <c r="B44" s="19" t="s">
        <v>85</v>
      </c>
      <c r="C44" s="70" t="s">
        <v>86</v>
      </c>
      <c r="D44" s="70" t="s">
        <v>87</v>
      </c>
      <c r="E44" s="70" t="s">
        <v>88</v>
      </c>
      <c r="F44" s="70" t="s">
        <v>89</v>
      </c>
      <c r="G44" s="70" t="s">
        <v>90</v>
      </c>
      <c r="H44" s="70" t="s">
        <v>91</v>
      </c>
      <c r="I44" s="70" t="s">
        <v>92</v>
      </c>
      <c r="J44" s="70" t="s">
        <v>93</v>
      </c>
      <c r="K44" s="70" t="s">
        <v>94</v>
      </c>
      <c r="L44" s="70" t="s">
        <v>95</v>
      </c>
      <c r="M44" s="70" t="s">
        <v>96</v>
      </c>
      <c r="N44" s="70" t="s">
        <v>97</v>
      </c>
      <c r="O44" s="70" t="s">
        <v>98</v>
      </c>
      <c r="P44" s="70" t="s">
        <v>99</v>
      </c>
      <c r="Q44" s="70" t="s">
        <v>100</v>
      </c>
      <c r="R44" s="70" t="s">
        <v>101</v>
      </c>
      <c r="S44" s="70" t="s">
        <v>102</v>
      </c>
      <c r="T44" s="70" t="s">
        <v>103</v>
      </c>
      <c r="U44" s="71" t="s">
        <v>104</v>
      </c>
      <c r="V44" s="71" t="s">
        <v>105</v>
      </c>
      <c r="W44" s="71" t="s">
        <v>106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9">
      <c r="A45" s="987" t="s">
        <v>141</v>
      </c>
      <c r="B45" s="988"/>
      <c r="C45" s="988"/>
      <c r="D45" s="988"/>
      <c r="E45" s="988"/>
      <c r="F45" s="988"/>
      <c r="G45" s="988"/>
      <c r="H45" s="988"/>
      <c r="I45" s="988"/>
      <c r="J45" s="988"/>
      <c r="K45" s="988"/>
      <c r="L45" s="988"/>
      <c r="M45" s="988"/>
      <c r="N45" s="988"/>
      <c r="O45" s="988"/>
      <c r="P45" s="988"/>
      <c r="Q45" s="988"/>
      <c r="R45" s="988"/>
      <c r="S45" s="988"/>
      <c r="T45" s="988"/>
      <c r="U45" s="988"/>
      <c r="V45" s="988"/>
      <c r="W45" s="98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96" ht="17.45">
      <c r="A46" s="548" t="s">
        <v>108</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96" ht="13.15">
      <c r="A47" s="37" t="s">
        <v>109</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3.15">
      <c r="A48" s="823" t="s">
        <v>110</v>
      </c>
      <c r="B48" s="34">
        <v>15</v>
      </c>
      <c r="C48" s="40"/>
      <c r="D48" s="41"/>
      <c r="E48" s="40"/>
      <c r="F48" s="41"/>
      <c r="G48" s="40"/>
      <c r="H48" s="41"/>
      <c r="I48" s="40"/>
      <c r="J48" s="41"/>
      <c r="K48" s="40">
        <v>1</v>
      </c>
      <c r="L48" s="41"/>
      <c r="M48" s="40"/>
      <c r="N48" s="41"/>
      <c r="O48" s="40"/>
      <c r="P48" s="41"/>
      <c r="Q48" s="40"/>
      <c r="R48" s="46"/>
      <c r="S48" s="40"/>
      <c r="T48" s="46">
        <v>1</v>
      </c>
      <c r="U48" s="47">
        <f>C48+E48+G48+I48+K48+M48+O48+Q48+S48</f>
        <v>1</v>
      </c>
      <c r="V48" s="47">
        <f>D48+F48+H48+J48+L48+N48+P48+R48+T48</f>
        <v>1</v>
      </c>
      <c r="W48" s="44">
        <f>+V48+U48</f>
        <v>2</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3.15">
      <c r="A49" s="824" t="s">
        <v>112</v>
      </c>
      <c r="B49" s="22" t="s">
        <v>142</v>
      </c>
      <c r="C49" s="40"/>
      <c r="D49" s="41">
        <v>1</v>
      </c>
      <c r="E49" s="40"/>
      <c r="F49" s="41"/>
      <c r="G49" s="40"/>
      <c r="H49" s="41"/>
      <c r="I49" s="40"/>
      <c r="J49" s="41"/>
      <c r="K49" s="40"/>
      <c r="L49" s="41"/>
      <c r="M49" s="40">
        <v>1</v>
      </c>
      <c r="N49" s="41">
        <v>1</v>
      </c>
      <c r="O49" s="40"/>
      <c r="P49" s="41"/>
      <c r="Q49" s="40"/>
      <c r="R49" s="46"/>
      <c r="S49" s="40"/>
      <c r="T49" s="46"/>
      <c r="U49" s="47">
        <f>C49+E49+G49+I49+K49+M49+O49+Q49+S49</f>
        <v>1</v>
      </c>
      <c r="V49" s="47">
        <f>D49+F49+H49+J49+L49+N49+P49+R49+T49</f>
        <v>2</v>
      </c>
      <c r="W49" s="44">
        <f>+V49+U49</f>
        <v>3</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9">
      <c r="A50" s="829" t="s">
        <v>143</v>
      </c>
      <c r="B50" s="822"/>
      <c r="C50" s="826"/>
      <c r="D50" s="826"/>
      <c r="E50" s="826"/>
      <c r="F50" s="826"/>
      <c r="G50" s="826"/>
      <c r="H50" s="826"/>
      <c r="I50" s="826"/>
      <c r="J50" s="826"/>
      <c r="K50" s="826"/>
      <c r="L50" s="826"/>
      <c r="M50" s="826"/>
      <c r="N50" s="826"/>
      <c r="O50" s="826"/>
      <c r="P50" s="826"/>
      <c r="Q50" s="826"/>
      <c r="R50" s="826"/>
      <c r="S50" s="826"/>
      <c r="T50" s="826"/>
      <c r="U50" s="821"/>
      <c r="V50" s="821"/>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3.15">
      <c r="A51" s="825" t="s">
        <v>115</v>
      </c>
      <c r="B51" s="22" t="s">
        <v>144</v>
      </c>
      <c r="C51" s="40"/>
      <c r="D51" s="41"/>
      <c r="E51" s="40"/>
      <c r="F51" s="41"/>
      <c r="G51" s="40"/>
      <c r="H51" s="41"/>
      <c r="I51" s="40"/>
      <c r="J51" s="41">
        <v>1</v>
      </c>
      <c r="K51" s="40"/>
      <c r="L51" s="41">
        <v>2</v>
      </c>
      <c r="M51" s="40"/>
      <c r="N51" s="41">
        <v>4</v>
      </c>
      <c r="O51" s="40"/>
      <c r="P51" s="41"/>
      <c r="Q51" s="40"/>
      <c r="R51" s="46"/>
      <c r="S51" s="40"/>
      <c r="T51" s="46"/>
      <c r="U51" s="47">
        <f t="shared" ref="U51:V56" si="5">C51+E51+G51+I51+K51+M51+O51+Q51+S51</f>
        <v>0</v>
      </c>
      <c r="V51" s="47">
        <f t="shared" si="5"/>
        <v>7</v>
      </c>
      <c r="W51" s="44">
        <f t="shared" ref="W51:W56" si="6">+V51+U51</f>
        <v>7</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3.15">
      <c r="A52" s="825" t="s">
        <v>117</v>
      </c>
      <c r="B52" s="22" t="s">
        <v>145</v>
      </c>
      <c r="C52" s="40"/>
      <c r="D52" s="41"/>
      <c r="E52" s="40"/>
      <c r="F52" s="41"/>
      <c r="G52" s="40"/>
      <c r="H52" s="41"/>
      <c r="I52" s="40"/>
      <c r="J52" s="41"/>
      <c r="K52" s="40"/>
      <c r="L52" s="41"/>
      <c r="M52" s="40">
        <v>1</v>
      </c>
      <c r="N52" s="41">
        <v>2</v>
      </c>
      <c r="O52" s="40"/>
      <c r="P52" s="41"/>
      <c r="Q52" s="40"/>
      <c r="R52" s="46"/>
      <c r="S52" s="40"/>
      <c r="T52" s="46">
        <v>1</v>
      </c>
      <c r="U52" s="47">
        <f t="shared" si="5"/>
        <v>1</v>
      </c>
      <c r="V52" s="47">
        <f t="shared" si="5"/>
        <v>3</v>
      </c>
      <c r="W52" s="44">
        <f t="shared" si="6"/>
        <v>4</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3.15">
      <c r="A53" s="825" t="s">
        <v>119</v>
      </c>
      <c r="B53" s="22" t="s">
        <v>146</v>
      </c>
      <c r="C53" s="40"/>
      <c r="D53" s="41"/>
      <c r="E53" s="40"/>
      <c r="F53" s="41"/>
      <c r="G53" s="40"/>
      <c r="H53" s="41"/>
      <c r="I53" s="40"/>
      <c r="J53" s="41">
        <v>2</v>
      </c>
      <c r="K53" s="40"/>
      <c r="L53" s="41">
        <v>2</v>
      </c>
      <c r="M53" s="40">
        <v>2</v>
      </c>
      <c r="N53" s="41">
        <v>4</v>
      </c>
      <c r="O53" s="40"/>
      <c r="P53" s="41"/>
      <c r="Q53" s="40"/>
      <c r="R53" s="46"/>
      <c r="S53" s="40"/>
      <c r="T53" s="46"/>
      <c r="U53" s="47">
        <f t="shared" si="5"/>
        <v>2</v>
      </c>
      <c r="V53" s="47">
        <f t="shared" si="5"/>
        <v>8</v>
      </c>
      <c r="W53" s="44">
        <f t="shared" si="6"/>
        <v>10</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3.15">
      <c r="A54" s="825" t="s">
        <v>121</v>
      </c>
      <c r="B54" s="22" t="s">
        <v>147</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45">
      <c r="A55" s="547" t="s">
        <v>123</v>
      </c>
      <c r="B55" s="22" t="s">
        <v>148</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40.15" thickBot="1">
      <c r="A56" s="550" t="s">
        <v>149</v>
      </c>
      <c r="B56" s="551" t="s">
        <v>150</v>
      </c>
      <c r="C56" s="560">
        <f t="shared" ref="C56:P56" si="7">SUM(C48:C55)</f>
        <v>0</v>
      </c>
      <c r="D56" s="560">
        <f t="shared" si="7"/>
        <v>1</v>
      </c>
      <c r="E56" s="560">
        <f t="shared" si="7"/>
        <v>0</v>
      </c>
      <c r="F56" s="560">
        <f t="shared" si="7"/>
        <v>0</v>
      </c>
      <c r="G56" s="560">
        <f t="shared" si="7"/>
        <v>0</v>
      </c>
      <c r="H56" s="560">
        <f t="shared" si="7"/>
        <v>0</v>
      </c>
      <c r="I56" s="560">
        <f t="shared" si="7"/>
        <v>0</v>
      </c>
      <c r="J56" s="560">
        <f t="shared" si="7"/>
        <v>3</v>
      </c>
      <c r="K56" s="560">
        <f t="shared" si="7"/>
        <v>1</v>
      </c>
      <c r="L56" s="560">
        <f t="shared" si="7"/>
        <v>4</v>
      </c>
      <c r="M56" s="560">
        <f t="shared" si="7"/>
        <v>4</v>
      </c>
      <c r="N56" s="560">
        <f t="shared" si="7"/>
        <v>11</v>
      </c>
      <c r="O56" s="560">
        <f t="shared" si="7"/>
        <v>0</v>
      </c>
      <c r="P56" s="560">
        <f t="shared" si="7"/>
        <v>0</v>
      </c>
      <c r="Q56" s="560">
        <f>SUM(Q48:Q55)</f>
        <v>0</v>
      </c>
      <c r="R56" s="560">
        <f>SUM(R48:R55)</f>
        <v>0</v>
      </c>
      <c r="S56" s="560">
        <f>SUM(S48:S55)</f>
        <v>0</v>
      </c>
      <c r="T56" s="560">
        <f>SUM(T48:T55)</f>
        <v>2</v>
      </c>
      <c r="U56" s="552">
        <f t="shared" si="5"/>
        <v>5</v>
      </c>
      <c r="V56" s="552">
        <f t="shared" si="5"/>
        <v>21</v>
      </c>
      <c r="W56" s="553">
        <f t="shared" si="6"/>
        <v>26</v>
      </c>
      <c r="X56" s="608"/>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96" ht="21.75" hidden="1" customHeight="1" thickTop="1">
      <c r="A57" s="548" t="s">
        <v>127</v>
      </c>
      <c r="B57" s="239"/>
      <c r="C57" s="549"/>
      <c r="D57" s="549"/>
      <c r="E57" s="549"/>
      <c r="F57" s="549"/>
      <c r="G57" s="549"/>
      <c r="H57" s="549"/>
      <c r="I57" s="549"/>
      <c r="J57" s="549"/>
      <c r="K57" s="549"/>
      <c r="L57" s="549"/>
      <c r="M57" s="549"/>
      <c r="N57" s="549"/>
      <c r="O57" s="549"/>
      <c r="P57" s="549"/>
      <c r="Q57" s="549"/>
      <c r="R57" s="549"/>
      <c r="S57" s="549"/>
      <c r="T57" s="549"/>
      <c r="U57" s="371"/>
      <c r="V57" s="371"/>
      <c r="W57" s="484"/>
      <c r="X57" s="609"/>
    </row>
    <row r="58" spans="1:96" s="17" customFormat="1" ht="13.15" hidden="1">
      <c r="A58" s="38" t="s">
        <v>128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9" hidden="1" thickBot="1">
      <c r="A59" s="604" t="s">
        <v>130</v>
      </c>
      <c r="B59" s="605">
        <v>24</v>
      </c>
      <c r="C59" s="610"/>
      <c r="D59" s="611"/>
      <c r="E59" s="610"/>
      <c r="F59" s="611"/>
      <c r="G59" s="610"/>
      <c r="H59" s="611"/>
      <c r="I59" s="610"/>
      <c r="J59" s="611"/>
      <c r="K59" s="610"/>
      <c r="L59" s="611"/>
      <c r="M59" s="610"/>
      <c r="N59" s="611"/>
      <c r="O59" s="610"/>
      <c r="P59" s="611"/>
      <c r="Q59" s="611"/>
      <c r="R59" s="611"/>
      <c r="S59" s="611"/>
      <c r="T59" s="611"/>
      <c r="U59" s="297">
        <f>C59+E59+G59+I59+K59+M59+O59</f>
        <v>0</v>
      </c>
      <c r="V59" s="297">
        <f>D59+F59+H59+J59+L59+N59+P59</f>
        <v>0</v>
      </c>
      <c r="W59" s="297">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96" ht="18" thickTop="1">
      <c r="A60" s="548" t="s">
        <v>132</v>
      </c>
      <c r="B60" s="239"/>
      <c r="C60" s="549"/>
      <c r="D60" s="549"/>
      <c r="E60" s="549"/>
      <c r="F60" s="549"/>
      <c r="G60" s="549"/>
      <c r="H60" s="549"/>
      <c r="I60" s="549"/>
      <c r="J60" s="549"/>
      <c r="K60" s="549"/>
      <c r="L60" s="549"/>
      <c r="M60" s="549"/>
      <c r="N60" s="549"/>
      <c r="O60" s="549"/>
      <c r="P60" s="549"/>
      <c r="Q60" s="549"/>
      <c r="R60" s="549"/>
      <c r="S60" s="549"/>
      <c r="T60" s="549"/>
      <c r="U60" s="371"/>
      <c r="V60" s="371"/>
      <c r="W60" s="485"/>
    </row>
    <row r="61" spans="1:96" ht="13.15">
      <c r="A61" s="37" t="s">
        <v>133</v>
      </c>
      <c r="B61" s="242" t="s">
        <v>61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3.15">
      <c r="A62" s="538" t="s">
        <v>134</v>
      </c>
      <c r="B62" s="22" t="s">
        <v>151</v>
      </c>
      <c r="C62" s="40"/>
      <c r="D62" s="41"/>
      <c r="E62" s="40"/>
      <c r="F62" s="41"/>
      <c r="G62" s="40"/>
      <c r="H62" s="41"/>
      <c r="I62" s="40"/>
      <c r="J62" s="41"/>
      <c r="K62" s="40">
        <v>1</v>
      </c>
      <c r="L62" s="41">
        <v>2</v>
      </c>
      <c r="M62" s="40">
        <v>3</v>
      </c>
      <c r="N62" s="41"/>
      <c r="O62" s="40"/>
      <c r="P62" s="41"/>
      <c r="Q62" s="40"/>
      <c r="R62" s="46"/>
      <c r="S62" s="40"/>
      <c r="T62" s="46"/>
      <c r="U62" s="47">
        <f t="shared" ref="U62:V65" si="8">C62+E62+G62+I62+K62+M62+O62+Q62+S62</f>
        <v>4</v>
      </c>
      <c r="V62" s="47">
        <f t="shared" si="8"/>
        <v>2</v>
      </c>
      <c r="W62" s="44">
        <f>+V62+U62</f>
        <v>6</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3.15">
      <c r="A63" s="538" t="s">
        <v>136</v>
      </c>
      <c r="B63" s="34" t="s">
        <v>152</v>
      </c>
      <c r="C63" s="40"/>
      <c r="D63" s="41"/>
      <c r="E63" s="40"/>
      <c r="F63" s="41">
        <v>1</v>
      </c>
      <c r="G63" s="40"/>
      <c r="H63" s="41"/>
      <c r="I63" s="40"/>
      <c r="J63" s="41">
        <v>1</v>
      </c>
      <c r="K63" s="40"/>
      <c r="L63" s="41"/>
      <c r="M63" s="40">
        <v>6</v>
      </c>
      <c r="N63" s="41">
        <v>2</v>
      </c>
      <c r="O63" s="40"/>
      <c r="P63" s="41"/>
      <c r="Q63" s="40"/>
      <c r="R63" s="46"/>
      <c r="S63" s="40"/>
      <c r="T63" s="46"/>
      <c r="U63" s="47">
        <f t="shared" si="8"/>
        <v>6</v>
      </c>
      <c r="V63" s="47">
        <f t="shared" si="8"/>
        <v>4</v>
      </c>
      <c r="W63" s="44">
        <f>+V63+U63</f>
        <v>10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39.6">
      <c r="A64" s="547" t="s">
        <v>137</v>
      </c>
      <c r="B64" s="22" t="s">
        <v>153</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7" t="s">
        <v>154</v>
      </c>
      <c r="B65" s="35" t="s">
        <v>155</v>
      </c>
      <c r="C65" s="47">
        <f t="shared" ref="C65:P65" si="9">SUM(C62:C64)</f>
        <v>0</v>
      </c>
      <c r="D65" s="47">
        <f t="shared" si="9"/>
        <v>0</v>
      </c>
      <c r="E65" s="47">
        <f t="shared" si="9"/>
        <v>0</v>
      </c>
      <c r="F65" s="47">
        <f t="shared" si="9"/>
        <v>1</v>
      </c>
      <c r="G65" s="47">
        <f t="shared" si="9"/>
        <v>0</v>
      </c>
      <c r="H65" s="47">
        <f t="shared" si="9"/>
        <v>0</v>
      </c>
      <c r="I65" s="47">
        <f t="shared" si="9"/>
        <v>0</v>
      </c>
      <c r="J65" s="47">
        <f t="shared" si="9"/>
        <v>1</v>
      </c>
      <c r="K65" s="47">
        <f t="shared" si="9"/>
        <v>1</v>
      </c>
      <c r="L65" s="47">
        <f t="shared" si="9"/>
        <v>2</v>
      </c>
      <c r="M65" s="47">
        <f t="shared" si="9"/>
        <v>9</v>
      </c>
      <c r="N65" s="47">
        <f t="shared" si="9"/>
        <v>2</v>
      </c>
      <c r="O65" s="47">
        <f t="shared" si="9"/>
        <v>0</v>
      </c>
      <c r="P65" s="47">
        <f t="shared" si="9"/>
        <v>0</v>
      </c>
      <c r="Q65" s="47">
        <f>SUM(Q62:Q64)</f>
        <v>0</v>
      </c>
      <c r="R65" s="47">
        <f>SUM(R62:R64)</f>
        <v>0</v>
      </c>
      <c r="S65" s="47">
        <f>SUM(S62:S64)</f>
        <v>0</v>
      </c>
      <c r="T65" s="47">
        <f>SUM(T62:T64)</f>
        <v>0</v>
      </c>
      <c r="U65" s="552">
        <f t="shared" si="8"/>
        <v>10</v>
      </c>
      <c r="V65" s="552">
        <f t="shared" si="8"/>
        <v>6</v>
      </c>
      <c r="W65" s="51">
        <f>U65+V65</f>
        <v>16</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96" s="29" customFormat="1" ht="32.25" customHeight="1" thickTop="1">
      <c r="A66" s="554" t="s">
        <v>156</v>
      </c>
      <c r="B66" s="555" t="s">
        <v>157</v>
      </c>
      <c r="C66" s="556">
        <f t="shared" ref="C66:V66" si="10">C65+C56+C35+C26</f>
        <v>0</v>
      </c>
      <c r="D66" s="556">
        <f t="shared" si="10"/>
        <v>1</v>
      </c>
      <c r="E66" s="556">
        <f t="shared" si="10"/>
        <v>4</v>
      </c>
      <c r="F66" s="556">
        <f t="shared" si="10"/>
        <v>11</v>
      </c>
      <c r="G66" s="556">
        <f t="shared" si="10"/>
        <v>0</v>
      </c>
      <c r="H66" s="556">
        <f t="shared" si="10"/>
        <v>0</v>
      </c>
      <c r="I66" s="556">
        <f t="shared" si="10"/>
        <v>3</v>
      </c>
      <c r="J66" s="556">
        <f t="shared" si="10"/>
        <v>17</v>
      </c>
      <c r="K66" s="556">
        <f t="shared" si="10"/>
        <v>15</v>
      </c>
      <c r="L66" s="556">
        <f t="shared" si="10"/>
        <v>39</v>
      </c>
      <c r="M66" s="556">
        <f t="shared" si="10"/>
        <v>40</v>
      </c>
      <c r="N66" s="556">
        <f t="shared" si="10"/>
        <v>48</v>
      </c>
      <c r="O66" s="556">
        <f t="shared" si="10"/>
        <v>1</v>
      </c>
      <c r="P66" s="556">
        <f t="shared" si="10"/>
        <v>1</v>
      </c>
      <c r="Q66" s="556">
        <f>Q65+Q56+Q35+Q26</f>
        <v>0</v>
      </c>
      <c r="R66" s="556">
        <f>R65+R56+R35+R26</f>
        <v>0</v>
      </c>
      <c r="S66" s="556">
        <f>S65+S56+S35+S26</f>
        <v>3</v>
      </c>
      <c r="T66" s="556">
        <f>T65+T56+T35+T26</f>
        <v>4</v>
      </c>
      <c r="U66" s="556">
        <f t="shared" si="10"/>
        <v>66</v>
      </c>
      <c r="V66" s="556">
        <f t="shared" si="10"/>
        <v>121</v>
      </c>
      <c r="W66" s="557">
        <f>U66+V66</f>
        <v>187</v>
      </c>
      <c r="X66" s="39"/>
    </row>
    <row r="67" spans="1:96" ht="24.75" customHeight="1"/>
    <row r="68" spans="1:96" ht="15.6">
      <c r="A68"/>
      <c r="B68"/>
      <c r="C68"/>
      <c r="D68"/>
      <c r="E68"/>
      <c r="F68"/>
      <c r="G68"/>
      <c r="H68"/>
      <c r="I68"/>
      <c r="J68"/>
      <c r="K68"/>
      <c r="L68"/>
      <c r="M68"/>
      <c r="N68"/>
      <c r="O68"/>
      <c r="P68"/>
      <c r="Q68"/>
      <c r="R68"/>
      <c r="S68"/>
      <c r="T68"/>
      <c r="U68"/>
      <c r="V68"/>
      <c r="W68"/>
    </row>
    <row r="69" spans="1:96" ht="15.6">
      <c r="A69"/>
      <c r="B69"/>
      <c r="C69"/>
      <c r="D69"/>
      <c r="E69"/>
      <c r="F69"/>
      <c r="G69"/>
      <c r="H69"/>
      <c r="I69"/>
      <c r="J69"/>
      <c r="K69"/>
      <c r="L69"/>
      <c r="M69"/>
      <c r="N69"/>
      <c r="O69"/>
      <c r="P69"/>
      <c r="Q69"/>
      <c r="R69"/>
      <c r="S69"/>
      <c r="T69"/>
      <c r="U69"/>
      <c r="V69"/>
      <c r="W69"/>
    </row>
    <row r="70" spans="1:96" ht="15.6">
      <c r="A70"/>
      <c r="B70"/>
      <c r="C70"/>
      <c r="D70"/>
      <c r="E70"/>
      <c r="F70"/>
      <c r="G70"/>
      <c r="H70"/>
      <c r="I70"/>
      <c r="J70"/>
      <c r="K70"/>
      <c r="L70"/>
      <c r="M70"/>
      <c r="N70"/>
      <c r="O70"/>
      <c r="P70"/>
      <c r="Q70"/>
      <c r="R70"/>
      <c r="S70"/>
      <c r="T70"/>
      <c r="U70"/>
      <c r="V70"/>
      <c r="W70"/>
    </row>
    <row r="71" spans="1:96" ht="15.6">
      <c r="A71"/>
      <c r="B71"/>
      <c r="C71"/>
      <c r="D71"/>
      <c r="E71"/>
      <c r="F71"/>
      <c r="G71"/>
      <c r="H71"/>
      <c r="I71"/>
      <c r="J71"/>
      <c r="K71"/>
      <c r="L71"/>
      <c r="M71"/>
      <c r="N71"/>
      <c r="O71"/>
      <c r="P71"/>
      <c r="Q71"/>
      <c r="R71"/>
      <c r="S71"/>
      <c r="T71"/>
      <c r="U71"/>
      <c r="V71"/>
      <c r="W71"/>
    </row>
    <row r="72" spans="1:96" ht="15.6">
      <c r="A72"/>
      <c r="B72"/>
      <c r="C72"/>
      <c r="D72"/>
      <c r="E72"/>
      <c r="F72"/>
      <c r="G72"/>
      <c r="H72"/>
      <c r="I72"/>
      <c r="J72"/>
      <c r="K72"/>
      <c r="L72"/>
      <c r="M72"/>
      <c r="N72"/>
      <c r="O72"/>
      <c r="P72"/>
      <c r="Q72"/>
      <c r="R72"/>
      <c r="S72"/>
      <c r="T72"/>
      <c r="U72"/>
      <c r="V72"/>
      <c r="W72"/>
    </row>
    <row r="73" spans="1:96" ht="15.6">
      <c r="A73"/>
      <c r="B73"/>
      <c r="C73"/>
      <c r="D73"/>
      <c r="E73"/>
      <c r="F73"/>
      <c r="G73"/>
      <c r="H73"/>
      <c r="I73"/>
      <c r="J73"/>
      <c r="K73"/>
      <c r="L73"/>
      <c r="M73"/>
      <c r="N73"/>
      <c r="O73"/>
      <c r="P73"/>
      <c r="Q73"/>
      <c r="R73"/>
      <c r="S73"/>
      <c r="T73"/>
      <c r="U73"/>
      <c r="V73"/>
      <c r="W73"/>
    </row>
    <row r="74" spans="1:96" ht="15.6">
      <c r="A74"/>
      <c r="B74"/>
      <c r="C74"/>
      <c r="D74"/>
      <c r="E74"/>
      <c r="F74"/>
      <c r="G74"/>
      <c r="H74"/>
      <c r="I74"/>
      <c r="J74"/>
      <c r="K74"/>
      <c r="L74"/>
      <c r="M74"/>
      <c r="N74"/>
      <c r="O74"/>
      <c r="P74"/>
      <c r="Q74"/>
      <c r="R74"/>
      <c r="S74"/>
      <c r="T74"/>
      <c r="U74"/>
      <c r="V74"/>
      <c r="W74"/>
    </row>
    <row r="75" spans="1:96" ht="15.6">
      <c r="A75"/>
      <c r="B75"/>
      <c r="C75"/>
      <c r="D75"/>
      <c r="E75"/>
      <c r="F75"/>
      <c r="G75"/>
      <c r="H75"/>
      <c r="I75"/>
      <c r="J75"/>
      <c r="K75"/>
      <c r="L75"/>
      <c r="M75"/>
      <c r="N75"/>
      <c r="O75"/>
      <c r="P75"/>
      <c r="Q75"/>
      <c r="R75"/>
      <c r="S75"/>
      <c r="T75"/>
      <c r="U75"/>
      <c r="V75"/>
      <c r="W75"/>
    </row>
    <row r="76" spans="1:96" ht="15.6">
      <c r="A76"/>
      <c r="B76"/>
      <c r="C76"/>
      <c r="D76"/>
      <c r="E76"/>
      <c r="F76"/>
      <c r="G76"/>
      <c r="H76"/>
      <c r="I76"/>
      <c r="J76"/>
      <c r="K76"/>
      <c r="L76"/>
      <c r="M76"/>
      <c r="N76"/>
      <c r="O76"/>
      <c r="P76"/>
      <c r="Q76"/>
      <c r="R76"/>
      <c r="S76"/>
      <c r="T76"/>
      <c r="U76"/>
      <c r="V76"/>
      <c r="W76"/>
    </row>
    <row r="77" spans="1:96" ht="15.6">
      <c r="A77"/>
      <c r="B77"/>
      <c r="C77"/>
      <c r="D77"/>
      <c r="E77"/>
      <c r="F77"/>
      <c r="G77"/>
      <c r="H77"/>
      <c r="I77"/>
      <c r="J77"/>
      <c r="K77"/>
      <c r="L77"/>
      <c r="M77"/>
      <c r="N77"/>
      <c r="O77"/>
      <c r="P77"/>
      <c r="Q77"/>
      <c r="R77"/>
      <c r="S77"/>
      <c r="T77"/>
      <c r="U77"/>
      <c r="V77"/>
      <c r="W77"/>
    </row>
    <row r="78" spans="1:96" ht="15.6">
      <c r="A78"/>
      <c r="B78"/>
      <c r="C78"/>
      <c r="D78"/>
      <c r="E78"/>
      <c r="F78"/>
      <c r="G78"/>
      <c r="H78"/>
      <c r="I78"/>
      <c r="J78"/>
      <c r="K78"/>
      <c r="L78"/>
      <c r="M78"/>
      <c r="N78"/>
      <c r="O78"/>
      <c r="P78"/>
      <c r="Q78"/>
      <c r="R78"/>
      <c r="S78"/>
      <c r="T78"/>
      <c r="U78"/>
      <c r="V78"/>
      <c r="W78"/>
    </row>
    <row r="79" spans="1:96" ht="15.6">
      <c r="A79"/>
      <c r="B79"/>
      <c r="C79"/>
      <c r="D79"/>
      <c r="E79"/>
      <c r="F79"/>
      <c r="G79"/>
      <c r="H79"/>
      <c r="I79"/>
      <c r="J79"/>
      <c r="K79"/>
      <c r="L79"/>
      <c r="M79"/>
      <c r="N79"/>
      <c r="O79"/>
      <c r="P79"/>
      <c r="Q79"/>
      <c r="R79"/>
      <c r="S79"/>
      <c r="T79"/>
      <c r="U79"/>
      <c r="V79"/>
      <c r="W79"/>
    </row>
    <row r="80" spans="1:96" ht="15.6">
      <c r="A80"/>
      <c r="B80"/>
      <c r="C80"/>
      <c r="D80"/>
      <c r="E80"/>
      <c r="F80"/>
      <c r="G80"/>
      <c r="H80"/>
      <c r="I80"/>
      <c r="J80"/>
      <c r="K80"/>
      <c r="L80"/>
      <c r="M80"/>
      <c r="N80"/>
      <c r="O80"/>
      <c r="P80"/>
      <c r="Q80"/>
      <c r="R80"/>
      <c r="S80"/>
      <c r="T80"/>
      <c r="U80"/>
      <c r="V80"/>
      <c r="W80"/>
    </row>
    <row r="81" spans="1:23" ht="15.6">
      <c r="A81"/>
      <c r="B81"/>
      <c r="C81"/>
      <c r="D81"/>
      <c r="E81"/>
      <c r="F81"/>
      <c r="G81"/>
      <c r="H81"/>
      <c r="I81"/>
      <c r="J81"/>
      <c r="K81"/>
      <c r="L81"/>
      <c r="M81"/>
      <c r="N81"/>
      <c r="O81"/>
      <c r="P81"/>
      <c r="Q81"/>
      <c r="R81"/>
      <c r="S81"/>
      <c r="T81"/>
      <c r="U81"/>
      <c r="V81"/>
      <c r="W81"/>
    </row>
    <row r="82" spans="1:23" ht="15.6">
      <c r="A82"/>
      <c r="B82"/>
      <c r="C82"/>
      <c r="D82"/>
      <c r="E82"/>
      <c r="F82"/>
      <c r="G82"/>
      <c r="H82"/>
      <c r="I82"/>
      <c r="J82"/>
      <c r="K82"/>
      <c r="L82"/>
      <c r="M82"/>
      <c r="N82"/>
      <c r="O82"/>
      <c r="P82"/>
      <c r="Q82"/>
      <c r="R82"/>
      <c r="S82"/>
      <c r="T82"/>
      <c r="U82"/>
      <c r="V82"/>
      <c r="W82"/>
    </row>
    <row r="83" spans="1:23" ht="15.6">
      <c r="A83"/>
      <c r="B83"/>
      <c r="C83"/>
      <c r="D83"/>
      <c r="E83"/>
      <c r="F83"/>
      <c r="G83"/>
      <c r="H83"/>
      <c r="I83"/>
      <c r="J83"/>
      <c r="K83"/>
      <c r="L83"/>
      <c r="M83"/>
      <c r="N83"/>
      <c r="O83"/>
      <c r="P83"/>
      <c r="Q83"/>
      <c r="R83"/>
      <c r="S83"/>
      <c r="T83"/>
      <c r="U83"/>
      <c r="V83"/>
      <c r="W83"/>
    </row>
    <row r="84" spans="1:23" ht="15.6">
      <c r="A84"/>
      <c r="B84"/>
      <c r="C84"/>
      <c r="D84"/>
      <c r="E84"/>
      <c r="F84"/>
      <c r="G84"/>
      <c r="H84"/>
      <c r="I84"/>
      <c r="J84"/>
      <c r="K84"/>
      <c r="L84"/>
      <c r="M84"/>
      <c r="N84"/>
      <c r="O84"/>
      <c r="P84"/>
      <c r="Q84"/>
      <c r="R84"/>
      <c r="S84"/>
      <c r="T84"/>
      <c r="U84"/>
      <c r="V84"/>
      <c r="W84"/>
    </row>
    <row r="85" spans="1:23" ht="15.6">
      <c r="A85"/>
      <c r="B85"/>
      <c r="C85"/>
      <c r="D85"/>
      <c r="E85"/>
      <c r="F85"/>
      <c r="G85"/>
      <c r="H85"/>
      <c r="I85"/>
      <c r="J85"/>
      <c r="K85"/>
      <c r="L85"/>
      <c r="M85"/>
      <c r="N85"/>
      <c r="O85"/>
      <c r="P85"/>
      <c r="Q85"/>
      <c r="R85"/>
      <c r="S85"/>
      <c r="T85"/>
      <c r="U85"/>
      <c r="V85"/>
      <c r="W85"/>
    </row>
    <row r="86" spans="1:23" ht="15.6">
      <c r="A86"/>
      <c r="B86"/>
      <c r="C86"/>
      <c r="D86"/>
      <c r="E86"/>
      <c r="F86"/>
      <c r="G86"/>
      <c r="H86"/>
      <c r="I86"/>
      <c r="J86"/>
      <c r="K86"/>
      <c r="L86"/>
      <c r="M86"/>
      <c r="N86"/>
      <c r="O86"/>
      <c r="P86"/>
      <c r="Q86"/>
      <c r="R86"/>
      <c r="S86"/>
      <c r="T86"/>
      <c r="U86"/>
      <c r="V86"/>
      <c r="W86"/>
    </row>
    <row r="87" spans="1:23" ht="15.6">
      <c r="A87"/>
      <c r="B87"/>
      <c r="C87"/>
      <c r="D87"/>
      <c r="E87"/>
      <c r="F87"/>
      <c r="G87"/>
      <c r="H87"/>
      <c r="I87"/>
      <c r="J87"/>
      <c r="K87"/>
      <c r="L87"/>
      <c r="M87"/>
      <c r="N87"/>
      <c r="O87"/>
      <c r="P87"/>
      <c r="Q87"/>
      <c r="R87"/>
      <c r="S87"/>
      <c r="T87"/>
      <c r="U87"/>
      <c r="V87"/>
      <c r="W87"/>
    </row>
    <row r="88" spans="1:23" ht="15.6">
      <c r="A88"/>
      <c r="B88"/>
      <c r="C88"/>
      <c r="D88"/>
      <c r="E88"/>
      <c r="F88"/>
      <c r="G88"/>
      <c r="H88"/>
      <c r="I88"/>
      <c r="J88"/>
      <c r="K88"/>
      <c r="L88"/>
      <c r="M88"/>
      <c r="N88"/>
      <c r="O88"/>
      <c r="P88"/>
      <c r="Q88"/>
      <c r="R88"/>
      <c r="S88"/>
      <c r="T88"/>
      <c r="U88"/>
      <c r="V88"/>
      <c r="W88"/>
    </row>
    <row r="89" spans="1:23" ht="15.6">
      <c r="A89"/>
      <c r="B89"/>
      <c r="C89"/>
      <c r="D89"/>
      <c r="E89"/>
      <c r="F89"/>
      <c r="G89"/>
      <c r="H89"/>
      <c r="I89"/>
      <c r="J89"/>
      <c r="K89"/>
      <c r="L89"/>
      <c r="M89"/>
      <c r="N89"/>
      <c r="O89"/>
      <c r="P89"/>
      <c r="Q89"/>
      <c r="R89"/>
      <c r="S89"/>
      <c r="T89"/>
      <c r="U89"/>
      <c r="V89"/>
      <c r="W89"/>
    </row>
    <row r="90" spans="1:23" ht="15.6">
      <c r="A90"/>
      <c r="B90"/>
      <c r="C90"/>
      <c r="D90"/>
      <c r="E90"/>
      <c r="F90"/>
      <c r="G90"/>
      <c r="H90"/>
      <c r="I90"/>
      <c r="J90"/>
      <c r="K90"/>
      <c r="L90"/>
      <c r="M90"/>
      <c r="N90"/>
      <c r="O90"/>
      <c r="P90"/>
      <c r="Q90"/>
      <c r="R90"/>
      <c r="S90"/>
      <c r="T90"/>
      <c r="U90"/>
      <c r="V90"/>
      <c r="W90"/>
    </row>
    <row r="91" spans="1:23" ht="15.6">
      <c r="A91"/>
      <c r="B91"/>
      <c r="C91"/>
      <c r="D91"/>
      <c r="E91"/>
      <c r="F91"/>
      <c r="G91"/>
      <c r="H91"/>
      <c r="I91"/>
      <c r="J91"/>
      <c r="K91"/>
      <c r="L91"/>
      <c r="M91"/>
      <c r="N91"/>
      <c r="O91"/>
      <c r="P91"/>
      <c r="Q91"/>
      <c r="R91"/>
      <c r="S91"/>
      <c r="T91"/>
      <c r="U91"/>
      <c r="V91"/>
      <c r="W91"/>
    </row>
    <row r="92" spans="1:23" ht="15.6">
      <c r="A92"/>
      <c r="B92"/>
      <c r="C92"/>
      <c r="D92"/>
      <c r="E92"/>
      <c r="F92"/>
      <c r="G92"/>
      <c r="H92"/>
      <c r="I92"/>
      <c r="J92"/>
      <c r="K92"/>
      <c r="L92"/>
      <c r="M92"/>
      <c r="N92"/>
      <c r="O92"/>
      <c r="P92"/>
      <c r="Q92"/>
      <c r="R92"/>
      <c r="S92"/>
      <c r="T92"/>
      <c r="U92"/>
      <c r="V92"/>
      <c r="W92"/>
    </row>
    <row r="93" spans="1:23" ht="15.6">
      <c r="A93"/>
      <c r="B93"/>
      <c r="C93"/>
      <c r="D93"/>
      <c r="E93"/>
      <c r="F93"/>
      <c r="G93"/>
      <c r="H93"/>
      <c r="I93"/>
      <c r="J93"/>
      <c r="K93"/>
      <c r="L93"/>
      <c r="M93"/>
      <c r="N93"/>
      <c r="O93"/>
      <c r="P93"/>
      <c r="Q93"/>
      <c r="R93"/>
      <c r="S93"/>
      <c r="T93"/>
      <c r="U93"/>
      <c r="V93"/>
      <c r="W93"/>
    </row>
    <row r="94" spans="1:23" ht="15.6">
      <c r="A94"/>
      <c r="B94"/>
      <c r="C94"/>
      <c r="D94"/>
      <c r="E94"/>
      <c r="F94"/>
      <c r="G94"/>
      <c r="H94"/>
      <c r="I94"/>
      <c r="J94"/>
      <c r="K94"/>
      <c r="L94"/>
      <c r="M94"/>
      <c r="N94"/>
      <c r="O94"/>
      <c r="P94"/>
      <c r="Q94"/>
      <c r="R94"/>
      <c r="S94"/>
      <c r="T94"/>
      <c r="U94"/>
      <c r="V94"/>
      <c r="W94"/>
    </row>
  </sheetData>
  <mergeCells count="61">
    <mergeCell ref="C42:D42"/>
    <mergeCell ref="E42:F42"/>
    <mergeCell ref="G42:H42"/>
    <mergeCell ref="I42:J42"/>
    <mergeCell ref="S42:T42"/>
    <mergeCell ref="K42:L42"/>
    <mergeCell ref="M42:N42"/>
    <mergeCell ref="O42:P42"/>
    <mergeCell ref="Q42:R42"/>
    <mergeCell ref="M40:N40"/>
    <mergeCell ref="O40:P40"/>
    <mergeCell ref="Q40:R40"/>
    <mergeCell ref="S40:T40"/>
    <mergeCell ref="C41:D41"/>
    <mergeCell ref="E41:F41"/>
    <mergeCell ref="G41:H41"/>
    <mergeCell ref="I41:J41"/>
    <mergeCell ref="K41:L41"/>
    <mergeCell ref="M41:N41"/>
    <mergeCell ref="O41:P41"/>
    <mergeCell ref="Q41:R41"/>
    <mergeCell ref="S41:T41"/>
    <mergeCell ref="C40:D40"/>
    <mergeCell ref="E40:F40"/>
    <mergeCell ref="G40:H40"/>
    <mergeCell ref="I40:J40"/>
    <mergeCell ref="K40:L40"/>
    <mergeCell ref="M11:N11"/>
    <mergeCell ref="O11:P11"/>
    <mergeCell ref="Q11:R11"/>
    <mergeCell ref="S11:T11"/>
    <mergeCell ref="C12:D12"/>
    <mergeCell ref="E12:F12"/>
    <mergeCell ref="G12:H12"/>
    <mergeCell ref="I12:J12"/>
    <mergeCell ref="K12:L12"/>
    <mergeCell ref="M12:N12"/>
    <mergeCell ref="O12:P12"/>
    <mergeCell ref="Q12:R12"/>
    <mergeCell ref="S12:T12"/>
    <mergeCell ref="C11:D11"/>
    <mergeCell ref="E11:F11"/>
    <mergeCell ref="G11:H11"/>
    <mergeCell ref="I11:J11"/>
    <mergeCell ref="K11:L1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s>
  <phoneticPr fontId="54" type="noConversion"/>
  <pageMargins left="0.47" right="0.35" top="0.48" bottom="0.38" header="0" footer="0.25"/>
  <pageSetup scale="94" fitToHeight="2" orientation="landscape" horizontalDpi="4294967292" verticalDpi="300" r:id="rId1"/>
  <headerFooter alignWithMargins="0">
    <oddFooter>Page &amp;P of &amp;N</oddFooter>
  </headerFooter>
  <rowBreaks count="1" manualBreakCount="1">
    <brk id="35"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A1:CR94"/>
  <sheetViews>
    <sheetView showGridLines="0" showZeros="0" defaultGridColor="0" colorId="8" zoomScaleNormal="100" zoomScaleSheetLayoutView="50" workbookViewId="0">
      <selection activeCell="O63" sqref="O63"/>
    </sheetView>
  </sheetViews>
  <sheetFormatPr defaultColWidth="0" defaultRowHeight="10.15"/>
  <cols>
    <col min="1" max="1" width="32.875" style="12" customWidth="1"/>
    <col min="2" max="2" width="3" style="11" customWidth="1"/>
    <col min="3" max="3" width="4.125" style="12" customWidth="1"/>
    <col min="4" max="4" width="4.5" style="12" customWidth="1"/>
    <col min="5" max="5" width="4.125" style="12" customWidth="1"/>
    <col min="6" max="6" width="4.5" style="12" customWidth="1"/>
    <col min="7" max="7" width="4.125" style="12" customWidth="1"/>
    <col min="8" max="8" width="4.5" style="12" customWidth="1"/>
    <col min="9" max="9" width="4.125" style="12" customWidth="1"/>
    <col min="10" max="10" width="4.5" style="12" customWidth="1"/>
    <col min="11" max="11" width="4.125" style="12" customWidth="1"/>
    <col min="12" max="12" width="4.5" style="12" customWidth="1"/>
    <col min="13" max="14" width="5.125" style="12" customWidth="1"/>
    <col min="15" max="15" width="4.125" style="12" customWidth="1"/>
    <col min="16" max="20" width="4.5" style="12" customWidth="1"/>
    <col min="21" max="21" width="4.75" style="13" customWidth="1"/>
    <col min="22" max="23" width="5.625" style="13" customWidth="1"/>
    <col min="24" max="24" width="2.875" style="12" customWidth="1"/>
    <col min="25" max="53" width="6.625" style="12" hidden="1" customWidth="1"/>
    <col min="54" max="16384" width="0" style="12" hidden="1"/>
  </cols>
  <sheetData>
    <row r="1" spans="1:96" s="3" customFormat="1" ht="27.6">
      <c r="A1" s="814" t="str">
        <f>Cover!A3</f>
        <v>FALL ENROLLMENT 2021</v>
      </c>
      <c r="B1" s="33"/>
      <c r="C1" s="33"/>
      <c r="D1" s="33"/>
      <c r="E1" s="33"/>
      <c r="F1" s="33"/>
      <c r="G1" s="33"/>
      <c r="H1" s="33"/>
      <c r="I1" s="33"/>
      <c r="J1" s="33"/>
      <c r="K1" s="33"/>
      <c r="L1" s="33"/>
      <c r="M1" s="33"/>
      <c r="N1" s="33"/>
      <c r="O1" s="33"/>
      <c r="P1" s="33"/>
      <c r="Q1" s="33"/>
      <c r="R1" s="33"/>
      <c r="S1" s="33"/>
      <c r="T1" s="33"/>
      <c r="U1" s="33"/>
      <c r="V1" s="33"/>
      <c r="W1" s="33"/>
      <c r="X1" s="790">
        <f>IF(COUNT(C18:P25,C28:P29,C32:P34,C48:P55,C58:P59,C62:P64)&gt;0,1,0)</f>
        <v>1</v>
      </c>
    </row>
    <row r="2" spans="1:96" s="4" customFormat="1">
      <c r="A2" s="249" t="str">
        <f>Cover!A62</f>
        <v>2122</v>
      </c>
      <c r="B2" s="56"/>
      <c r="C2" s="56"/>
      <c r="D2" s="56"/>
      <c r="E2" s="56"/>
      <c r="F2" s="56"/>
      <c r="G2" s="56"/>
      <c r="H2" s="56"/>
      <c r="I2" s="56"/>
      <c r="J2" s="56"/>
    </row>
    <row r="3" spans="1:96" s="3" customFormat="1" ht="13.9" thickBot="1">
      <c r="A3" s="802" t="str">
        <f>Cover!$A$8</f>
        <v>Western Connecticut State University</v>
      </c>
      <c r="B3" s="57"/>
      <c r="C3" s="58"/>
      <c r="D3" s="57"/>
      <c r="E3" s="57"/>
      <c r="F3" s="57"/>
      <c r="G3" s="57"/>
      <c r="H3" s="57"/>
      <c r="I3" s="57"/>
      <c r="J3" s="57"/>
      <c r="K3" s="5" t="s">
        <v>48</v>
      </c>
      <c r="M3" s="2"/>
      <c r="N3" s="6" t="str">
        <f>+Cover!$A$10</f>
        <v>Jerry Wilcox</v>
      </c>
      <c r="O3" s="7"/>
      <c r="P3" s="8"/>
      <c r="Q3" s="8"/>
      <c r="R3" s="8"/>
      <c r="S3" s="8"/>
      <c r="T3" s="8"/>
      <c r="U3" s="7"/>
      <c r="X3" s="789"/>
    </row>
    <row r="4" spans="1:96" s="3" customFormat="1" ht="13.9" thickBot="1">
      <c r="A4" s="31">
        <f>Cover!$B$8</f>
        <v>130776</v>
      </c>
      <c r="B4" s="57"/>
      <c r="C4" s="58"/>
      <c r="D4" s="57"/>
      <c r="E4" s="56"/>
      <c r="F4" s="57"/>
      <c r="G4" s="56"/>
      <c r="H4" s="57"/>
      <c r="I4" s="56"/>
      <c r="J4" s="57"/>
      <c r="K4" s="5" t="s">
        <v>49</v>
      </c>
      <c r="M4" s="9"/>
      <c r="N4" s="6" t="str">
        <f>+Cover!$B$10</f>
        <v>Director, Institutional Research and Assessment</v>
      </c>
      <c r="O4" s="7"/>
      <c r="P4" s="8"/>
      <c r="Q4" s="8"/>
      <c r="R4" s="8"/>
      <c r="S4" s="8"/>
      <c r="T4" s="8"/>
      <c r="U4" s="7"/>
    </row>
    <row r="5" spans="1:96" s="3" customFormat="1" ht="16.149999999999999" thickBot="1">
      <c r="A5" s="32" t="str">
        <f>Cover!$C$8</f>
        <v>Danbury</v>
      </c>
      <c r="B5" s="57"/>
      <c r="C5" s="58"/>
      <c r="D5" s="57"/>
      <c r="E5" s="56"/>
      <c r="F5" s="57"/>
      <c r="G5" s="56"/>
      <c r="H5" s="57"/>
      <c r="I5" s="56"/>
      <c r="J5" s="57"/>
      <c r="K5" s="5" t="s">
        <v>50</v>
      </c>
      <c r="M5" s="9"/>
      <c r="N5" s="990" t="str">
        <f>+Cover!$C$10</f>
        <v>203-837-8242</v>
      </c>
      <c r="O5" s="1152"/>
      <c r="P5" s="1152"/>
      <c r="Q5" s="939"/>
      <c r="R5" s="939"/>
      <c r="S5" s="939"/>
      <c r="T5" s="939"/>
      <c r="U5" s="7"/>
    </row>
    <row r="6" spans="1:96" ht="10.5" customHeight="1">
      <c r="A6" s="10"/>
      <c r="B6" s="56"/>
      <c r="C6" s="56"/>
      <c r="D6" s="56"/>
      <c r="E6" s="56"/>
      <c r="F6" s="56"/>
      <c r="G6" s="56"/>
      <c r="H6" s="56"/>
      <c r="I6" s="56"/>
      <c r="J6" s="56"/>
      <c r="L6" s="9"/>
      <c r="N6" s="9"/>
      <c r="P6" s="9"/>
      <c r="Q6" s="9"/>
      <c r="R6" s="9"/>
      <c r="S6" s="9"/>
      <c r="T6" s="9"/>
      <c r="V6" s="14"/>
      <c r="W6" s="14"/>
    </row>
    <row r="7" spans="1:96" ht="20.45">
      <c r="A7" s="537" t="s">
        <v>51</v>
      </c>
    </row>
    <row r="8" spans="1:96">
      <c r="A8" s="10" t="s">
        <v>52</v>
      </c>
    </row>
    <row r="9" spans="1: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96">
      <c r="A10" s="999" t="s">
        <v>171</v>
      </c>
      <c r="B10" s="36"/>
      <c r="C10" s="991" t="s">
        <v>54</v>
      </c>
      <c r="D10" s="992"/>
      <c r="E10" s="991" t="s">
        <v>55</v>
      </c>
      <c r="F10" s="992"/>
      <c r="G10" s="991" t="s">
        <v>56</v>
      </c>
      <c r="H10" s="992"/>
      <c r="I10" s="991"/>
      <c r="J10" s="992"/>
      <c r="K10" s="991" t="s">
        <v>57</v>
      </c>
      <c r="L10" s="992"/>
      <c r="M10" s="991"/>
      <c r="N10" s="992"/>
      <c r="O10" s="991" t="s">
        <v>58</v>
      </c>
      <c r="P10" s="992"/>
      <c r="Q10" s="991" t="s">
        <v>59</v>
      </c>
      <c r="R10" s="992"/>
      <c r="S10" s="991" t="s">
        <v>60</v>
      </c>
      <c r="T10" s="992"/>
      <c r="U10" s="59" t="s">
        <v>61</v>
      </c>
      <c r="V10" s="60"/>
      <c r="W10" s="61"/>
    </row>
    <row r="11" spans="1:96" ht="12" customHeight="1">
      <c r="A11" s="1000"/>
      <c r="B11" s="20"/>
      <c r="C11" s="993" t="s">
        <v>62</v>
      </c>
      <c r="D11" s="994"/>
      <c r="E11" s="993" t="s">
        <v>63</v>
      </c>
      <c r="F11" s="994"/>
      <c r="G11" s="993" t="s">
        <v>64</v>
      </c>
      <c r="H11" s="994"/>
      <c r="I11" s="993" t="s">
        <v>65</v>
      </c>
      <c r="J11" s="994"/>
      <c r="K11" s="993" t="s">
        <v>66</v>
      </c>
      <c r="L11" s="994"/>
      <c r="M11" s="993" t="s">
        <v>67</v>
      </c>
      <c r="N11" s="994"/>
      <c r="O11" s="993" t="s">
        <v>68</v>
      </c>
      <c r="P11" s="994"/>
      <c r="Q11" s="993" t="s">
        <v>69</v>
      </c>
      <c r="R11" s="994"/>
      <c r="S11" s="993" t="s">
        <v>70</v>
      </c>
      <c r="T11" s="994"/>
      <c r="U11" s="62" t="s">
        <v>71</v>
      </c>
      <c r="V11" s="63"/>
      <c r="W11" s="64"/>
    </row>
    <row r="12" spans="1:96" s="17" customFormat="1" ht="12" customHeight="1">
      <c r="A12" s="986" t="s">
        <v>172</v>
      </c>
      <c r="B12" s="20"/>
      <c r="C12" s="995" t="s">
        <v>73</v>
      </c>
      <c r="D12" s="996"/>
      <c r="E12" s="995" t="s">
        <v>56</v>
      </c>
      <c r="F12" s="996"/>
      <c r="G12" s="995" t="s">
        <v>74</v>
      </c>
      <c r="H12" s="996"/>
      <c r="I12" s="995"/>
      <c r="J12" s="996"/>
      <c r="K12" s="995" t="s">
        <v>75</v>
      </c>
      <c r="L12" s="996"/>
      <c r="M12" s="995"/>
      <c r="N12" s="996"/>
      <c r="O12" s="995" t="s">
        <v>76</v>
      </c>
      <c r="P12" s="996"/>
      <c r="Q12" s="995" t="s">
        <v>77</v>
      </c>
      <c r="R12" s="996"/>
      <c r="S12" s="995" t="s">
        <v>78</v>
      </c>
      <c r="T12" s="996"/>
      <c r="U12" s="65" t="s">
        <v>79</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7.25" customHeight="1">
      <c r="A13" s="1153"/>
      <c r="B13" s="20" t="s">
        <v>80</v>
      </c>
      <c r="C13" s="68" t="s">
        <v>81</v>
      </c>
      <c r="D13" s="23" t="s">
        <v>82</v>
      </c>
      <c r="E13" s="68" t="s">
        <v>81</v>
      </c>
      <c r="F13" s="23" t="s">
        <v>82</v>
      </c>
      <c r="G13" s="68" t="s">
        <v>81</v>
      </c>
      <c r="H13" s="23" t="s">
        <v>82</v>
      </c>
      <c r="I13" s="68" t="s">
        <v>81</v>
      </c>
      <c r="J13" s="23" t="s">
        <v>82</v>
      </c>
      <c r="K13" s="68" t="s">
        <v>81</v>
      </c>
      <c r="L13" s="23" t="s">
        <v>82</v>
      </c>
      <c r="M13" s="68" t="s">
        <v>81</v>
      </c>
      <c r="N13" s="23" t="s">
        <v>82</v>
      </c>
      <c r="O13" s="68" t="s">
        <v>81</v>
      </c>
      <c r="P13" s="23" t="s">
        <v>82</v>
      </c>
      <c r="Q13" s="68" t="s">
        <v>81</v>
      </c>
      <c r="R13" s="23" t="s">
        <v>82</v>
      </c>
      <c r="S13" s="68" t="s">
        <v>81</v>
      </c>
      <c r="T13" s="23" t="s">
        <v>82</v>
      </c>
      <c r="U13" s="69" t="s">
        <v>81</v>
      </c>
      <c r="V13" s="21" t="s">
        <v>82</v>
      </c>
      <c r="W13" s="21" t="s">
        <v>83</v>
      </c>
    </row>
    <row r="14" spans="1:96" s="17" customFormat="1" ht="14.25" customHeight="1">
      <c r="A14" s="601" t="s">
        <v>84</v>
      </c>
      <c r="B14" s="20" t="s">
        <v>85</v>
      </c>
      <c r="C14" s="70" t="s">
        <v>86</v>
      </c>
      <c r="D14" s="70" t="s">
        <v>87</v>
      </c>
      <c r="E14" s="70" t="s">
        <v>88</v>
      </c>
      <c r="F14" s="70" t="s">
        <v>89</v>
      </c>
      <c r="G14" s="70" t="s">
        <v>90</v>
      </c>
      <c r="H14" s="70" t="s">
        <v>91</v>
      </c>
      <c r="I14" s="70" t="s">
        <v>92</v>
      </c>
      <c r="J14" s="70" t="s">
        <v>93</v>
      </c>
      <c r="K14" s="70" t="s">
        <v>94</v>
      </c>
      <c r="L14" s="70" t="s">
        <v>95</v>
      </c>
      <c r="M14" s="70" t="s">
        <v>96</v>
      </c>
      <c r="N14" s="70" t="s">
        <v>97</v>
      </c>
      <c r="O14" s="70" t="s">
        <v>98</v>
      </c>
      <c r="P14" s="70" t="s">
        <v>99</v>
      </c>
      <c r="Q14" s="70" t="s">
        <v>100</v>
      </c>
      <c r="R14" s="70" t="s">
        <v>101</v>
      </c>
      <c r="S14" s="70" t="s">
        <v>102</v>
      </c>
      <c r="T14" s="70" t="s">
        <v>103</v>
      </c>
      <c r="U14" s="71" t="s">
        <v>104</v>
      </c>
      <c r="V14" s="71" t="s">
        <v>105</v>
      </c>
      <c r="W14" s="71" t="s">
        <v>106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987" t="s">
        <v>107</v>
      </c>
      <c r="B15" s="988"/>
      <c r="C15" s="988"/>
      <c r="D15" s="988"/>
      <c r="E15" s="988"/>
      <c r="F15" s="988"/>
      <c r="G15" s="988"/>
      <c r="H15" s="988"/>
      <c r="I15" s="988"/>
      <c r="J15" s="988"/>
      <c r="K15" s="988"/>
      <c r="L15" s="988"/>
      <c r="M15" s="988"/>
      <c r="N15" s="988"/>
      <c r="O15" s="988"/>
      <c r="P15" s="988"/>
      <c r="Q15" s="988"/>
      <c r="R15" s="988"/>
      <c r="S15" s="988"/>
      <c r="T15" s="988"/>
      <c r="U15" s="988"/>
      <c r="V15" s="988"/>
      <c r="W15" s="98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96" ht="17.45">
      <c r="A16" s="548" t="s">
        <v>108</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96" ht="13.15">
      <c r="A17" s="37" t="s">
        <v>109</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4.1" customHeight="1">
      <c r="A18" s="823" t="s">
        <v>110</v>
      </c>
      <c r="B18" s="34" t="s">
        <v>111</v>
      </c>
      <c r="C18" s="40"/>
      <c r="D18" s="41"/>
      <c r="E18" s="40"/>
      <c r="F18" s="41"/>
      <c r="G18" s="40"/>
      <c r="H18" s="41"/>
      <c r="I18" s="40"/>
      <c r="J18" s="41"/>
      <c r="K18" s="40">
        <v>1</v>
      </c>
      <c r="L18" s="41"/>
      <c r="M18" s="40"/>
      <c r="N18" s="41">
        <v>1</v>
      </c>
      <c r="O18" s="40"/>
      <c r="P18" s="41"/>
      <c r="Q18" s="40"/>
      <c r="R18" s="46"/>
      <c r="S18" s="40">
        <v>1</v>
      </c>
      <c r="T18" s="46"/>
      <c r="U18" s="47">
        <f>C18+E18+G18+I18+K18+M18+O18+Q18+S18</f>
        <v>2</v>
      </c>
      <c r="V18" s="47">
        <f>D18+F18+H18+J18+L18+N18+P18+R18+T18</f>
        <v>1</v>
      </c>
      <c r="W18" s="44">
        <f>+V18+U18</f>
        <v>3</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4.1" customHeight="1">
      <c r="A19" s="824" t="s">
        <v>112</v>
      </c>
      <c r="B19" s="820" t="s">
        <v>113</v>
      </c>
      <c r="C19" s="40"/>
      <c r="D19" s="41"/>
      <c r="E19" s="40"/>
      <c r="F19" s="41"/>
      <c r="G19" s="40"/>
      <c r="H19" s="41"/>
      <c r="I19" s="40"/>
      <c r="J19" s="41"/>
      <c r="K19" s="40"/>
      <c r="L19" s="41"/>
      <c r="M19" s="40">
        <v>1</v>
      </c>
      <c r="N19" s="41"/>
      <c r="O19" s="40"/>
      <c r="P19" s="41"/>
      <c r="Q19" s="40"/>
      <c r="R19" s="46"/>
      <c r="S19" s="40"/>
      <c r="T19" s="46"/>
      <c r="U19" s="47">
        <f>C19+E19+G19+I19+K19+M19+O19+Q19+S19</f>
        <v>1</v>
      </c>
      <c r="V19" s="47">
        <f>D19+F19+H19+J19+L19+N19+P19+R19+T19</f>
        <v>0</v>
      </c>
      <c r="W19" s="618">
        <f>+V19+U19</f>
        <v>1</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4.1" customHeight="1">
      <c r="A20" s="829" t="s">
        <v>114</v>
      </c>
      <c r="B20" s="822"/>
      <c r="C20" s="136"/>
      <c r="D20" s="136"/>
      <c r="E20" s="136"/>
      <c r="F20" s="136"/>
      <c r="G20" s="136"/>
      <c r="H20" s="136"/>
      <c r="I20" s="136"/>
      <c r="J20" s="136"/>
      <c r="K20" s="136"/>
      <c r="L20" s="136"/>
      <c r="M20" s="136"/>
      <c r="N20" s="136"/>
      <c r="O20" s="136"/>
      <c r="P20" s="136"/>
      <c r="Q20" s="136"/>
      <c r="R20" s="136"/>
      <c r="S20" s="136"/>
      <c r="T20" s="136"/>
      <c r="U20" s="821"/>
      <c r="V20" s="821"/>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4.1" customHeight="1">
      <c r="A21" s="825" t="s">
        <v>115</v>
      </c>
      <c r="B21" s="22" t="s">
        <v>116</v>
      </c>
      <c r="C21" s="40"/>
      <c r="D21" s="41"/>
      <c r="E21" s="40"/>
      <c r="F21" s="41"/>
      <c r="G21" s="40"/>
      <c r="H21" s="41"/>
      <c r="I21" s="40"/>
      <c r="J21" s="41"/>
      <c r="K21" s="40"/>
      <c r="L21" s="41"/>
      <c r="M21" s="40">
        <v>1</v>
      </c>
      <c r="N21" s="41"/>
      <c r="O21" s="40"/>
      <c r="P21" s="41"/>
      <c r="Q21" s="40"/>
      <c r="R21" s="46"/>
      <c r="S21" s="40"/>
      <c r="T21" s="46"/>
      <c r="U21" s="47">
        <f t="shared" ref="U21:V26" si="0">C21+E21+G21+I21+K21+M21+O21+Q21+S21</f>
        <v>1</v>
      </c>
      <c r="V21" s="47">
        <f t="shared" si="0"/>
        <v>0</v>
      </c>
      <c r="W21" s="49">
        <f t="shared" ref="W21:W26" si="1">+V21+U21</f>
        <v>1</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4.1" customHeight="1">
      <c r="A22" s="825" t="s">
        <v>117</v>
      </c>
      <c r="B22" s="22" t="s">
        <v>118</v>
      </c>
      <c r="C22" s="40"/>
      <c r="D22" s="41"/>
      <c r="E22" s="40"/>
      <c r="F22" s="41"/>
      <c r="G22" s="40"/>
      <c r="H22" s="41"/>
      <c r="I22" s="40"/>
      <c r="J22" s="41"/>
      <c r="K22" s="40">
        <v>1</v>
      </c>
      <c r="L22" s="41">
        <v>1</v>
      </c>
      <c r="M22" s="40">
        <v>5</v>
      </c>
      <c r="N22" s="41"/>
      <c r="O22" s="40"/>
      <c r="P22" s="41"/>
      <c r="Q22" s="40"/>
      <c r="R22" s="46"/>
      <c r="S22" s="40"/>
      <c r="T22" s="46"/>
      <c r="U22" s="47">
        <f t="shared" si="0"/>
        <v>6</v>
      </c>
      <c r="V22" s="47">
        <f t="shared" si="0"/>
        <v>1</v>
      </c>
      <c r="W22" s="44">
        <f t="shared" si="1"/>
        <v>7</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4.1" customHeight="1">
      <c r="A23" s="825" t="s">
        <v>119</v>
      </c>
      <c r="B23" s="22" t="s">
        <v>120</v>
      </c>
      <c r="C23" s="40"/>
      <c r="D23" s="41"/>
      <c r="E23" s="40"/>
      <c r="F23" s="41"/>
      <c r="G23" s="40"/>
      <c r="H23" s="41"/>
      <c r="I23" s="40"/>
      <c r="J23" s="41"/>
      <c r="K23" s="40">
        <v>1</v>
      </c>
      <c r="L23" s="41"/>
      <c r="M23" s="40">
        <v>6</v>
      </c>
      <c r="N23" s="41">
        <v>2</v>
      </c>
      <c r="O23" s="40">
        <v>1</v>
      </c>
      <c r="P23" s="41"/>
      <c r="Q23" s="40"/>
      <c r="R23" s="46"/>
      <c r="S23" s="40"/>
      <c r="T23" s="46"/>
      <c r="U23" s="47">
        <f t="shared" si="0"/>
        <v>8</v>
      </c>
      <c r="V23" s="47">
        <f t="shared" si="0"/>
        <v>2</v>
      </c>
      <c r="W23" s="44">
        <f t="shared" si="1"/>
        <v>10</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4.1" customHeight="1">
      <c r="A24" s="825" t="s">
        <v>121</v>
      </c>
      <c r="B24" s="22" t="s">
        <v>122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7" t="s">
        <v>123</v>
      </c>
      <c r="B25" s="22" t="s">
        <v>124</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40.15" thickBot="1">
      <c r="A26" s="550" t="s">
        <v>125</v>
      </c>
      <c r="B26" s="551" t="s">
        <v>126</v>
      </c>
      <c r="C26" s="552">
        <f t="shared" ref="C26:P26" si="2">SUM(C18:C25)</f>
        <v>0</v>
      </c>
      <c r="D26" s="552">
        <f t="shared" si="2"/>
        <v>0</v>
      </c>
      <c r="E26" s="552">
        <f t="shared" si="2"/>
        <v>0</v>
      </c>
      <c r="F26" s="552">
        <f t="shared" si="2"/>
        <v>0</v>
      </c>
      <c r="G26" s="552">
        <f t="shared" si="2"/>
        <v>0</v>
      </c>
      <c r="H26" s="552">
        <f t="shared" si="2"/>
        <v>0</v>
      </c>
      <c r="I26" s="552">
        <f t="shared" si="2"/>
        <v>0</v>
      </c>
      <c r="J26" s="552">
        <f t="shared" si="2"/>
        <v>0</v>
      </c>
      <c r="K26" s="552">
        <f t="shared" si="2"/>
        <v>3</v>
      </c>
      <c r="L26" s="552">
        <f t="shared" si="2"/>
        <v>1</v>
      </c>
      <c r="M26" s="552">
        <f t="shared" si="2"/>
        <v>13</v>
      </c>
      <c r="N26" s="552">
        <f t="shared" si="2"/>
        <v>3</v>
      </c>
      <c r="O26" s="552">
        <f t="shared" si="2"/>
        <v>1</v>
      </c>
      <c r="P26" s="552">
        <f t="shared" si="2"/>
        <v>0</v>
      </c>
      <c r="Q26" s="552">
        <f>SUM(Q18:Q25)</f>
        <v>0</v>
      </c>
      <c r="R26" s="552">
        <f>SUM(R18:R25)</f>
        <v>0</v>
      </c>
      <c r="S26" s="552">
        <f>SUM(S18:S25)</f>
        <v>1</v>
      </c>
      <c r="T26" s="552">
        <f>SUM(T18:T25)</f>
        <v>0</v>
      </c>
      <c r="U26" s="552">
        <f t="shared" si="0"/>
        <v>18</v>
      </c>
      <c r="V26" s="552">
        <f t="shared" si="0"/>
        <v>4</v>
      </c>
      <c r="W26" s="553">
        <f t="shared" si="1"/>
        <v>22</v>
      </c>
      <c r="X26" s="608"/>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96" ht="18" hidden="1" customHeight="1" thickTop="1">
      <c r="A27" s="548" t="s">
        <v>127</v>
      </c>
      <c r="B27" s="239"/>
      <c r="C27" s="549"/>
      <c r="D27" s="549"/>
      <c r="E27" s="549"/>
      <c r="F27" s="549"/>
      <c r="G27" s="549"/>
      <c r="H27" s="549"/>
      <c r="I27" s="549"/>
      <c r="J27" s="549"/>
      <c r="K27" s="549"/>
      <c r="L27" s="549"/>
      <c r="M27" s="549"/>
      <c r="N27" s="549"/>
      <c r="O27" s="549"/>
      <c r="P27" s="549"/>
      <c r="Q27" s="549"/>
      <c r="R27" s="549"/>
      <c r="S27" s="549"/>
      <c r="T27" s="549"/>
      <c r="U27" s="371"/>
      <c r="V27" s="371"/>
      <c r="W27" s="485"/>
      <c r="X27" s="609"/>
    </row>
    <row r="28" spans="1:96" s="17" customFormat="1" ht="13.15" hidden="1">
      <c r="A28" s="38" t="s">
        <v>128</v>
      </c>
      <c r="B28" s="34" t="s">
        <v>129</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9" hidden="1" thickBot="1">
      <c r="A29" s="604" t="s">
        <v>130</v>
      </c>
      <c r="B29" s="605" t="s">
        <v>131</v>
      </c>
      <c r="C29" s="606"/>
      <c r="D29" s="607"/>
      <c r="E29" s="606"/>
      <c r="F29" s="607"/>
      <c r="G29" s="606"/>
      <c r="H29" s="607"/>
      <c r="I29" s="606"/>
      <c r="J29" s="607"/>
      <c r="K29" s="606"/>
      <c r="L29" s="607"/>
      <c r="M29" s="606"/>
      <c r="N29" s="607"/>
      <c r="O29" s="606"/>
      <c r="P29" s="607"/>
      <c r="Q29" s="607"/>
      <c r="R29" s="607"/>
      <c r="S29" s="607"/>
      <c r="T29" s="607"/>
      <c r="U29" s="299">
        <f>C29+E29+G29+I29+K29+M29+O29</f>
        <v>0</v>
      </c>
      <c r="V29" s="299">
        <f>D29+F29+H29+J29+L29+N29+P29</f>
        <v>0</v>
      </c>
      <c r="W29" s="297">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96" ht="18" thickTop="1">
      <c r="A30" s="548" t="s">
        <v>132</v>
      </c>
      <c r="B30" s="239"/>
      <c r="C30" s="549"/>
      <c r="D30" s="549"/>
      <c r="E30" s="549"/>
      <c r="F30" s="549"/>
      <c r="G30" s="549"/>
      <c r="H30" s="549"/>
      <c r="I30" s="549"/>
      <c r="J30" s="549"/>
      <c r="K30" s="549"/>
      <c r="L30" s="549"/>
      <c r="M30" s="549"/>
      <c r="N30" s="549"/>
      <c r="O30" s="549"/>
      <c r="P30" s="549"/>
      <c r="Q30" s="549"/>
      <c r="R30" s="549"/>
      <c r="S30" s="549"/>
      <c r="T30" s="549"/>
      <c r="U30" s="371"/>
      <c r="V30" s="371"/>
      <c r="W30" s="485"/>
    </row>
    <row r="31" spans="1:96" ht="13.15">
      <c r="A31" s="37" t="s">
        <v>133</v>
      </c>
      <c r="B31" s="242" t="s">
        <v>61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3.15">
      <c r="A32" s="538" t="s">
        <v>134</v>
      </c>
      <c r="B32" s="22" t="s">
        <v>135</v>
      </c>
      <c r="C32" s="40"/>
      <c r="D32" s="41"/>
      <c r="E32" s="40"/>
      <c r="F32" s="41"/>
      <c r="G32" s="40"/>
      <c r="H32" s="41"/>
      <c r="I32" s="40"/>
      <c r="J32" s="41"/>
      <c r="K32" s="40"/>
      <c r="L32" s="41"/>
      <c r="M32" s="40"/>
      <c r="N32" s="41"/>
      <c r="O32" s="40"/>
      <c r="P32" s="41"/>
      <c r="Q32" s="40"/>
      <c r="R32" s="46"/>
      <c r="S32" s="40"/>
      <c r="T32" s="46"/>
      <c r="U32" s="47">
        <f t="shared" ref="U32:V35" si="3">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3.15">
      <c r="A33" s="538" t="s">
        <v>136</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45">
      <c r="A34" s="547" t="s">
        <v>137</v>
      </c>
      <c r="B34" s="22" t="s">
        <v>138</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6" t="s">
        <v>139</v>
      </c>
      <c r="B35" s="24" t="s">
        <v>140</v>
      </c>
      <c r="C35" s="47">
        <f>SUM(C32:C34)</f>
        <v>0</v>
      </c>
      <c r="D35" s="47">
        <f t="shared" ref="D35:P35" si="4">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spans="1:96" ht="25.5" customHeight="1"/>
    <row r="37" spans="1:96" ht="15.6">
      <c r="A37" s="483" t="str">
        <f>+A42&amp;" PART A (Continued)"</f>
        <v>270000 PART A (Continued)</v>
      </c>
      <c r="B37" s="26" t="str">
        <f>A1</f>
        <v>FALL ENROLLMENT 2021</v>
      </c>
      <c r="C37" s="27"/>
      <c r="D37" s="27"/>
      <c r="E37" s="27"/>
      <c r="F37" s="27"/>
      <c r="G37" s="27"/>
      <c r="H37" s="27"/>
      <c r="I37" s="27"/>
      <c r="J37" s="27"/>
      <c r="K37" s="27"/>
      <c r="L37" s="27"/>
      <c r="M37" s="27"/>
      <c r="N37" s="27"/>
      <c r="O37" s="27"/>
      <c r="P37" s="27"/>
      <c r="Q37" s="27"/>
      <c r="R37" s="27"/>
      <c r="S37" s="27"/>
      <c r="T37" s="27"/>
      <c r="U37" s="13" t="s">
        <v>61</v>
      </c>
    </row>
    <row r="38" spans="1:96" ht="15.6">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3.15">
      <c r="A39" s="28" t="s">
        <v>61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96">
      <c r="A40" s="999" t="str">
        <f>+A10</f>
        <v>MATH. &amp; STATISTICS</v>
      </c>
      <c r="B40" s="36"/>
      <c r="C40" s="991" t="s">
        <v>54</v>
      </c>
      <c r="D40" s="992"/>
      <c r="E40" s="991" t="s">
        <v>55</v>
      </c>
      <c r="F40" s="992"/>
      <c r="G40" s="991" t="s">
        <v>56</v>
      </c>
      <c r="H40" s="992"/>
      <c r="I40" s="991"/>
      <c r="J40" s="992"/>
      <c r="K40" s="991" t="s">
        <v>57</v>
      </c>
      <c r="L40" s="992"/>
      <c r="M40" s="991"/>
      <c r="N40" s="992"/>
      <c r="O40" s="991" t="s">
        <v>58</v>
      </c>
      <c r="P40" s="992"/>
      <c r="Q40" s="991" t="s">
        <v>59</v>
      </c>
      <c r="R40" s="992"/>
      <c r="S40" s="991" t="s">
        <v>60</v>
      </c>
      <c r="T40" s="992"/>
      <c r="U40" s="59" t="s">
        <v>61</v>
      </c>
      <c r="V40" s="60"/>
      <c r="W40" s="61"/>
    </row>
    <row r="41" spans="1:96" ht="12.75" customHeight="1">
      <c r="A41" s="1000"/>
      <c r="B41" s="20"/>
      <c r="C41" s="993" t="s">
        <v>62</v>
      </c>
      <c r="D41" s="994"/>
      <c r="E41" s="993" t="s">
        <v>63</v>
      </c>
      <c r="F41" s="994"/>
      <c r="G41" s="993" t="s">
        <v>64</v>
      </c>
      <c r="H41" s="994"/>
      <c r="I41" s="993" t="s">
        <v>65</v>
      </c>
      <c r="J41" s="994"/>
      <c r="K41" s="993" t="s">
        <v>66</v>
      </c>
      <c r="L41" s="994"/>
      <c r="M41" s="993" t="s">
        <v>67</v>
      </c>
      <c r="N41" s="994"/>
      <c r="O41" s="993" t="s">
        <v>68</v>
      </c>
      <c r="P41" s="994"/>
      <c r="Q41" s="993" t="s">
        <v>69</v>
      </c>
      <c r="R41" s="994"/>
      <c r="S41" s="993" t="s">
        <v>70</v>
      </c>
      <c r="T41" s="994"/>
      <c r="U41" s="62" t="s">
        <v>71</v>
      </c>
      <c r="V41" s="63"/>
      <c r="W41" s="64"/>
    </row>
    <row r="42" spans="1:96" s="17" customFormat="1">
      <c r="A42" s="986" t="str">
        <f>+A12</f>
        <v>270000</v>
      </c>
      <c r="B42" s="20"/>
      <c r="C42" s="995" t="s">
        <v>73</v>
      </c>
      <c r="D42" s="996"/>
      <c r="E42" s="995" t="s">
        <v>56</v>
      </c>
      <c r="F42" s="996"/>
      <c r="G42" s="995" t="s">
        <v>74</v>
      </c>
      <c r="H42" s="996"/>
      <c r="I42" s="995"/>
      <c r="J42" s="996"/>
      <c r="K42" s="995" t="s">
        <v>75</v>
      </c>
      <c r="L42" s="996"/>
      <c r="M42" s="995"/>
      <c r="N42" s="996"/>
      <c r="O42" s="995" t="s">
        <v>76</v>
      </c>
      <c r="P42" s="996"/>
      <c r="Q42" s="995" t="s">
        <v>77</v>
      </c>
      <c r="R42" s="996"/>
      <c r="S42" s="995" t="s">
        <v>78</v>
      </c>
      <c r="T42" s="996"/>
      <c r="U42" s="65" t="s">
        <v>79</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96" ht="15" customHeight="1">
      <c r="A43" s="1153"/>
      <c r="B43" s="20" t="s">
        <v>80</v>
      </c>
      <c r="C43" s="68" t="s">
        <v>81</v>
      </c>
      <c r="D43" s="23" t="s">
        <v>82</v>
      </c>
      <c r="E43" s="68" t="s">
        <v>81</v>
      </c>
      <c r="F43" s="23" t="s">
        <v>82</v>
      </c>
      <c r="G43" s="68" t="s">
        <v>81</v>
      </c>
      <c r="H43" s="23" t="s">
        <v>82</v>
      </c>
      <c r="I43" s="68" t="s">
        <v>81</v>
      </c>
      <c r="J43" s="23" t="s">
        <v>82</v>
      </c>
      <c r="K43" s="68" t="s">
        <v>81</v>
      </c>
      <c r="L43" s="23" t="s">
        <v>82</v>
      </c>
      <c r="M43" s="68" t="s">
        <v>81</v>
      </c>
      <c r="N43" s="23" t="s">
        <v>82</v>
      </c>
      <c r="O43" s="68" t="s">
        <v>81</v>
      </c>
      <c r="P43" s="23" t="s">
        <v>82</v>
      </c>
      <c r="Q43" s="68" t="s">
        <v>81</v>
      </c>
      <c r="R43" s="23" t="s">
        <v>82</v>
      </c>
      <c r="S43" s="68" t="s">
        <v>81</v>
      </c>
      <c r="T43" s="23" t="s">
        <v>82</v>
      </c>
      <c r="U43" s="69" t="s">
        <v>81</v>
      </c>
      <c r="V43" s="21" t="s">
        <v>82</v>
      </c>
      <c r="W43" s="21" t="s">
        <v>83</v>
      </c>
    </row>
    <row r="44" spans="1:96" s="17" customFormat="1" ht="13.15">
      <c r="A44" s="602" t="s">
        <v>84</v>
      </c>
      <c r="B44" s="19" t="s">
        <v>85</v>
      </c>
      <c r="C44" s="70" t="s">
        <v>86</v>
      </c>
      <c r="D44" s="70" t="s">
        <v>87</v>
      </c>
      <c r="E44" s="70" t="s">
        <v>88</v>
      </c>
      <c r="F44" s="70" t="s">
        <v>89</v>
      </c>
      <c r="G44" s="70" t="s">
        <v>90</v>
      </c>
      <c r="H44" s="70" t="s">
        <v>91</v>
      </c>
      <c r="I44" s="70" t="s">
        <v>92</v>
      </c>
      <c r="J44" s="70" t="s">
        <v>93</v>
      </c>
      <c r="K44" s="70" t="s">
        <v>94</v>
      </c>
      <c r="L44" s="70" t="s">
        <v>95</v>
      </c>
      <c r="M44" s="70" t="s">
        <v>96</v>
      </c>
      <c r="N44" s="70" t="s">
        <v>97</v>
      </c>
      <c r="O44" s="70" t="s">
        <v>98</v>
      </c>
      <c r="P44" s="70" t="s">
        <v>99</v>
      </c>
      <c r="Q44" s="70" t="s">
        <v>100</v>
      </c>
      <c r="R44" s="70" t="s">
        <v>101</v>
      </c>
      <c r="S44" s="70" t="s">
        <v>102</v>
      </c>
      <c r="T44" s="70" t="s">
        <v>103</v>
      </c>
      <c r="U44" s="71" t="s">
        <v>104</v>
      </c>
      <c r="V44" s="71" t="s">
        <v>105</v>
      </c>
      <c r="W44" s="71" t="s">
        <v>106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9">
      <c r="A45" s="987" t="s">
        <v>141</v>
      </c>
      <c r="B45" s="988"/>
      <c r="C45" s="988"/>
      <c r="D45" s="988"/>
      <c r="E45" s="988"/>
      <c r="F45" s="988"/>
      <c r="G45" s="988"/>
      <c r="H45" s="988"/>
      <c r="I45" s="988"/>
      <c r="J45" s="988"/>
      <c r="K45" s="988"/>
      <c r="L45" s="988"/>
      <c r="M45" s="988"/>
      <c r="N45" s="988"/>
      <c r="O45" s="988"/>
      <c r="P45" s="988"/>
      <c r="Q45" s="988"/>
      <c r="R45" s="988"/>
      <c r="S45" s="988"/>
      <c r="T45" s="988"/>
      <c r="U45" s="988"/>
      <c r="V45" s="988"/>
      <c r="W45" s="98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96" ht="17.45">
      <c r="A46" s="548" t="s">
        <v>108</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96" ht="13.15">
      <c r="A47" s="37" t="s">
        <v>109</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3.15">
      <c r="A48" s="823" t="s">
        <v>110</v>
      </c>
      <c r="B48" s="34">
        <v>15</v>
      </c>
      <c r="C48" s="40"/>
      <c r="D48" s="41"/>
      <c r="E48" s="40"/>
      <c r="F48" s="41"/>
      <c r="G48" s="40"/>
      <c r="H48" s="41"/>
      <c r="I48" s="40"/>
      <c r="J48" s="41"/>
      <c r="K48" s="40"/>
      <c r="L48" s="41"/>
      <c r="M48" s="40"/>
      <c r="N48" s="41"/>
      <c r="O48" s="40"/>
      <c r="P48" s="41"/>
      <c r="Q48" s="40"/>
      <c r="R48" s="46"/>
      <c r="S48" s="40"/>
      <c r="T48" s="46"/>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3.15">
      <c r="A49" s="824" t="s">
        <v>112</v>
      </c>
      <c r="B49" s="22" t="s">
        <v>142</v>
      </c>
      <c r="C49" s="40"/>
      <c r="D49" s="41"/>
      <c r="E49" s="40"/>
      <c r="F49" s="41"/>
      <c r="G49" s="40"/>
      <c r="H49" s="41"/>
      <c r="I49" s="40"/>
      <c r="J49" s="41"/>
      <c r="K49" s="40"/>
      <c r="L49" s="41"/>
      <c r="M49" s="40"/>
      <c r="N49" s="41"/>
      <c r="O49" s="40"/>
      <c r="P49" s="41"/>
      <c r="Q49" s="40"/>
      <c r="R49" s="46"/>
      <c r="S49" s="40"/>
      <c r="T49" s="46"/>
      <c r="U49" s="47">
        <f>C49+E49+G49+I49+K49+M49+O49+Q49+S49</f>
        <v>0</v>
      </c>
      <c r="V49" s="47">
        <f>D49+F49+H49+J49+L49+N49+P49+R49+T49</f>
        <v>0</v>
      </c>
      <c r="W49" s="44">
        <f>+V49+U49</f>
        <v>0</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9">
      <c r="A50" s="829" t="s">
        <v>143</v>
      </c>
      <c r="B50" s="822"/>
      <c r="C50" s="826"/>
      <c r="D50" s="826"/>
      <c r="E50" s="826"/>
      <c r="F50" s="826"/>
      <c r="G50" s="826"/>
      <c r="H50" s="826"/>
      <c r="I50" s="826"/>
      <c r="J50" s="826"/>
      <c r="K50" s="826"/>
      <c r="L50" s="826"/>
      <c r="M50" s="826"/>
      <c r="N50" s="826"/>
      <c r="O50" s="826"/>
      <c r="P50" s="826"/>
      <c r="Q50" s="826"/>
      <c r="R50" s="826"/>
      <c r="S50" s="826"/>
      <c r="T50" s="826"/>
      <c r="U50" s="821"/>
      <c r="V50" s="821"/>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3.15">
      <c r="A51" s="825" t="s">
        <v>115</v>
      </c>
      <c r="B51" s="22" t="s">
        <v>144</v>
      </c>
      <c r="C51" s="40"/>
      <c r="D51" s="41"/>
      <c r="E51" s="40"/>
      <c r="F51" s="41"/>
      <c r="G51" s="40"/>
      <c r="H51" s="41"/>
      <c r="I51" s="40"/>
      <c r="J51" s="41"/>
      <c r="K51" s="40"/>
      <c r="L51" s="41"/>
      <c r="M51" s="40"/>
      <c r="N51" s="41">
        <v>1</v>
      </c>
      <c r="O51" s="40"/>
      <c r="P51" s="41"/>
      <c r="Q51" s="40"/>
      <c r="R51" s="46"/>
      <c r="S51" s="40"/>
      <c r="T51" s="46"/>
      <c r="U51" s="47">
        <f t="shared" ref="U51:V56" si="5">C51+E51+G51+I51+K51+M51+O51+Q51+S51</f>
        <v>0</v>
      </c>
      <c r="V51" s="47">
        <f t="shared" si="5"/>
        <v>1</v>
      </c>
      <c r="W51" s="44">
        <f t="shared" ref="W51:W56" si="6">+V51+U51</f>
        <v>1</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3.15">
      <c r="A52" s="825" t="s">
        <v>117</v>
      </c>
      <c r="B52" s="22" t="s">
        <v>145</v>
      </c>
      <c r="C52" s="40"/>
      <c r="D52" s="41"/>
      <c r="E52" s="40"/>
      <c r="F52" s="41"/>
      <c r="G52" s="40"/>
      <c r="H52" s="41"/>
      <c r="I52" s="40"/>
      <c r="J52" s="41"/>
      <c r="K52" s="40"/>
      <c r="L52" s="41"/>
      <c r="M52" s="40">
        <v>1</v>
      </c>
      <c r="N52" s="41"/>
      <c r="O52" s="40"/>
      <c r="P52" s="41"/>
      <c r="Q52" s="40"/>
      <c r="R52" s="46"/>
      <c r="S52" s="40"/>
      <c r="T52" s="46"/>
      <c r="U52" s="47">
        <f t="shared" si="5"/>
        <v>1</v>
      </c>
      <c r="V52" s="47">
        <f t="shared" si="5"/>
        <v>0</v>
      </c>
      <c r="W52" s="44">
        <f t="shared" si="6"/>
        <v>1</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3.15">
      <c r="A53" s="825" t="s">
        <v>119</v>
      </c>
      <c r="B53" s="22" t="s">
        <v>146</v>
      </c>
      <c r="C53" s="40"/>
      <c r="D53" s="41"/>
      <c r="E53" s="40"/>
      <c r="F53" s="41"/>
      <c r="G53" s="40"/>
      <c r="H53" s="41"/>
      <c r="I53" s="40"/>
      <c r="J53" s="41"/>
      <c r="K53" s="40"/>
      <c r="L53" s="41"/>
      <c r="M53" s="40">
        <v>1</v>
      </c>
      <c r="N53" s="41">
        <v>1</v>
      </c>
      <c r="O53" s="40"/>
      <c r="P53" s="41"/>
      <c r="Q53" s="40"/>
      <c r="R53" s="46"/>
      <c r="S53" s="40"/>
      <c r="T53" s="46"/>
      <c r="U53" s="47">
        <f t="shared" si="5"/>
        <v>1</v>
      </c>
      <c r="V53" s="47">
        <f t="shared" si="5"/>
        <v>1</v>
      </c>
      <c r="W53" s="44">
        <f t="shared" si="6"/>
        <v>2</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3.15">
      <c r="A54" s="825" t="s">
        <v>121</v>
      </c>
      <c r="B54" s="22" t="s">
        <v>147</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45">
      <c r="A55" s="547" t="s">
        <v>123</v>
      </c>
      <c r="B55" s="22" t="s">
        <v>148</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40.15" thickBot="1">
      <c r="A56" s="550" t="s">
        <v>149</v>
      </c>
      <c r="B56" s="551" t="s">
        <v>150</v>
      </c>
      <c r="C56" s="560">
        <f t="shared" ref="C56:P56" si="7">SUM(C48:C55)</f>
        <v>0</v>
      </c>
      <c r="D56" s="560">
        <f t="shared" si="7"/>
        <v>0</v>
      </c>
      <c r="E56" s="560">
        <f t="shared" si="7"/>
        <v>0</v>
      </c>
      <c r="F56" s="560">
        <f t="shared" si="7"/>
        <v>0</v>
      </c>
      <c r="G56" s="560">
        <f t="shared" si="7"/>
        <v>0</v>
      </c>
      <c r="H56" s="560">
        <f t="shared" si="7"/>
        <v>0</v>
      </c>
      <c r="I56" s="560">
        <f t="shared" si="7"/>
        <v>0</v>
      </c>
      <c r="J56" s="560">
        <f t="shared" si="7"/>
        <v>0</v>
      </c>
      <c r="K56" s="560">
        <f t="shared" si="7"/>
        <v>0</v>
      </c>
      <c r="L56" s="560">
        <f t="shared" si="7"/>
        <v>0</v>
      </c>
      <c r="M56" s="560">
        <f t="shared" si="7"/>
        <v>2</v>
      </c>
      <c r="N56" s="560">
        <f t="shared" si="7"/>
        <v>2</v>
      </c>
      <c r="O56" s="560">
        <f t="shared" si="7"/>
        <v>0</v>
      </c>
      <c r="P56" s="560">
        <f t="shared" si="7"/>
        <v>0</v>
      </c>
      <c r="Q56" s="560">
        <f>SUM(Q48:Q55)</f>
        <v>0</v>
      </c>
      <c r="R56" s="560">
        <f>SUM(R48:R55)</f>
        <v>0</v>
      </c>
      <c r="S56" s="560">
        <f>SUM(S48:S55)</f>
        <v>0</v>
      </c>
      <c r="T56" s="560">
        <f>SUM(T48:T55)</f>
        <v>0</v>
      </c>
      <c r="U56" s="552">
        <f t="shared" si="5"/>
        <v>2</v>
      </c>
      <c r="V56" s="552">
        <f t="shared" si="5"/>
        <v>2</v>
      </c>
      <c r="W56" s="553">
        <f t="shared" si="6"/>
        <v>4</v>
      </c>
      <c r="X56" s="608"/>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96" ht="21.75" hidden="1" customHeight="1" thickTop="1">
      <c r="A57" s="548" t="s">
        <v>127</v>
      </c>
      <c r="B57" s="239"/>
      <c r="C57" s="549"/>
      <c r="D57" s="549"/>
      <c r="E57" s="549"/>
      <c r="F57" s="549"/>
      <c r="G57" s="549"/>
      <c r="H57" s="549"/>
      <c r="I57" s="549"/>
      <c r="J57" s="549"/>
      <c r="K57" s="549"/>
      <c r="L57" s="549"/>
      <c r="M57" s="549"/>
      <c r="N57" s="549"/>
      <c r="O57" s="549"/>
      <c r="P57" s="549"/>
      <c r="Q57" s="549"/>
      <c r="R57" s="549"/>
      <c r="S57" s="549"/>
      <c r="T57" s="549"/>
      <c r="U57" s="371"/>
      <c r="V57" s="371"/>
      <c r="W57" s="484"/>
      <c r="X57" s="609"/>
    </row>
    <row r="58" spans="1:96" s="17" customFormat="1" ht="13.15" hidden="1">
      <c r="A58" s="38" t="s">
        <v>128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9" hidden="1" thickBot="1">
      <c r="A59" s="604" t="s">
        <v>130</v>
      </c>
      <c r="B59" s="605">
        <v>24</v>
      </c>
      <c r="C59" s="610"/>
      <c r="D59" s="611"/>
      <c r="E59" s="610"/>
      <c r="F59" s="611"/>
      <c r="G59" s="610"/>
      <c r="H59" s="611"/>
      <c r="I59" s="610"/>
      <c r="J59" s="611"/>
      <c r="K59" s="610"/>
      <c r="L59" s="611"/>
      <c r="M59" s="610"/>
      <c r="N59" s="611"/>
      <c r="O59" s="610"/>
      <c r="P59" s="611"/>
      <c r="Q59" s="611"/>
      <c r="R59" s="611"/>
      <c r="S59" s="611"/>
      <c r="T59" s="611"/>
      <c r="U59" s="297">
        <f>C59+E59+G59+I59+K59+M59+O59</f>
        <v>0</v>
      </c>
      <c r="V59" s="297">
        <f>D59+F59+H59+J59+L59+N59+P59</f>
        <v>0</v>
      </c>
      <c r="W59" s="297">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96" ht="18" thickTop="1">
      <c r="A60" s="548" t="s">
        <v>132</v>
      </c>
      <c r="B60" s="239"/>
      <c r="C60" s="549"/>
      <c r="D60" s="549"/>
      <c r="E60" s="549"/>
      <c r="F60" s="549"/>
      <c r="G60" s="549"/>
      <c r="H60" s="549"/>
      <c r="I60" s="549"/>
      <c r="J60" s="549"/>
      <c r="K60" s="549"/>
      <c r="L60" s="549"/>
      <c r="M60" s="549"/>
      <c r="N60" s="549"/>
      <c r="O60" s="549"/>
      <c r="P60" s="549"/>
      <c r="Q60" s="549"/>
      <c r="R60" s="549"/>
      <c r="S60" s="549"/>
      <c r="T60" s="549"/>
      <c r="U60" s="371"/>
      <c r="V60" s="371"/>
      <c r="W60" s="485"/>
    </row>
    <row r="61" spans="1:96" ht="13.15">
      <c r="A61" s="37" t="s">
        <v>133</v>
      </c>
      <c r="B61" s="242" t="s">
        <v>61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3.15">
      <c r="A62" s="538" t="s">
        <v>134</v>
      </c>
      <c r="B62" s="22" t="s">
        <v>151</v>
      </c>
      <c r="C62" s="40"/>
      <c r="D62" s="41"/>
      <c r="E62" s="40"/>
      <c r="F62" s="41"/>
      <c r="G62" s="40"/>
      <c r="H62" s="41"/>
      <c r="I62" s="40"/>
      <c r="J62" s="41"/>
      <c r="K62" s="40"/>
      <c r="L62" s="41"/>
      <c r="M62" s="40"/>
      <c r="N62" s="41"/>
      <c r="O62" s="40"/>
      <c r="P62" s="41"/>
      <c r="Q62" s="40"/>
      <c r="R62" s="46"/>
      <c r="S62" s="40"/>
      <c r="T62" s="46"/>
      <c r="U62" s="47">
        <f t="shared" ref="U62:V65" si="8">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3.15">
      <c r="A63" s="538" t="s">
        <v>136</v>
      </c>
      <c r="B63" s="34" t="s">
        <v>152</v>
      </c>
      <c r="C63" s="40"/>
      <c r="D63" s="41"/>
      <c r="E63" s="40"/>
      <c r="F63" s="41"/>
      <c r="G63" s="40"/>
      <c r="H63" s="41"/>
      <c r="I63" s="40">
        <v>1</v>
      </c>
      <c r="J63" s="41"/>
      <c r="K63" s="40">
        <v>1</v>
      </c>
      <c r="L63" s="41"/>
      <c r="M63" s="40">
        <v>2</v>
      </c>
      <c r="N63" s="41">
        <v>1</v>
      </c>
      <c r="O63" s="40"/>
      <c r="P63" s="41"/>
      <c r="Q63" s="40"/>
      <c r="R63" s="46"/>
      <c r="S63" s="40"/>
      <c r="T63" s="46"/>
      <c r="U63" s="47">
        <f t="shared" si="8"/>
        <v>4</v>
      </c>
      <c r="V63" s="47">
        <f t="shared" si="8"/>
        <v>1</v>
      </c>
      <c r="W63" s="44">
        <f>+V63+U63</f>
        <v>5</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45">
      <c r="A64" s="547" t="s">
        <v>137</v>
      </c>
      <c r="B64" s="22" t="s">
        <v>153</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7" t="s">
        <v>173</v>
      </c>
      <c r="B65" s="35" t="s">
        <v>155</v>
      </c>
      <c r="C65" s="48">
        <f>SUM(C62:C64)</f>
        <v>0</v>
      </c>
      <c r="D65" s="48">
        <f t="shared" ref="D65:P65" si="9">SUM(D62:D64)</f>
        <v>0</v>
      </c>
      <c r="E65" s="48">
        <f t="shared" si="9"/>
        <v>0</v>
      </c>
      <c r="F65" s="48">
        <f t="shared" si="9"/>
        <v>0</v>
      </c>
      <c r="G65" s="48">
        <f t="shared" si="9"/>
        <v>0</v>
      </c>
      <c r="H65" s="48">
        <f t="shared" si="9"/>
        <v>0</v>
      </c>
      <c r="I65" s="48">
        <f t="shared" si="9"/>
        <v>1</v>
      </c>
      <c r="J65" s="48">
        <f t="shared" si="9"/>
        <v>0</v>
      </c>
      <c r="K65" s="48">
        <f t="shared" si="9"/>
        <v>1</v>
      </c>
      <c r="L65" s="48">
        <f t="shared" si="9"/>
        <v>0</v>
      </c>
      <c r="M65" s="48">
        <f t="shared" si="9"/>
        <v>2</v>
      </c>
      <c r="N65" s="48">
        <f t="shared" si="9"/>
        <v>1</v>
      </c>
      <c r="O65" s="48">
        <f t="shared" si="9"/>
        <v>0</v>
      </c>
      <c r="P65" s="48">
        <f t="shared" si="9"/>
        <v>0</v>
      </c>
      <c r="Q65" s="48">
        <f>SUM(Q62:Q64)</f>
        <v>0</v>
      </c>
      <c r="R65" s="48">
        <f>SUM(R62:R64)</f>
        <v>0</v>
      </c>
      <c r="S65" s="48">
        <f>SUM(S62:S64)</f>
        <v>0</v>
      </c>
      <c r="T65" s="48">
        <f>SUM(T62:T64)</f>
        <v>0</v>
      </c>
      <c r="U65" s="552">
        <f t="shared" si="8"/>
        <v>4</v>
      </c>
      <c r="V65" s="552">
        <f t="shared" si="8"/>
        <v>1</v>
      </c>
      <c r="W65" s="51">
        <f>U65+V65</f>
        <v>5</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96" s="29" customFormat="1" ht="32.25" customHeight="1" thickTop="1">
      <c r="A66" s="554" t="s">
        <v>156</v>
      </c>
      <c r="B66" s="555" t="s">
        <v>157</v>
      </c>
      <c r="C66" s="556">
        <f t="shared" ref="C66:V66" si="10">C65+C56+C35+C26</f>
        <v>0</v>
      </c>
      <c r="D66" s="556">
        <f t="shared" si="10"/>
        <v>0</v>
      </c>
      <c r="E66" s="556">
        <f t="shared" si="10"/>
        <v>0</v>
      </c>
      <c r="F66" s="556">
        <f t="shared" si="10"/>
        <v>0</v>
      </c>
      <c r="G66" s="556">
        <f t="shared" si="10"/>
        <v>0</v>
      </c>
      <c r="H66" s="556">
        <f t="shared" si="10"/>
        <v>0</v>
      </c>
      <c r="I66" s="556">
        <f t="shared" si="10"/>
        <v>1</v>
      </c>
      <c r="J66" s="556">
        <f t="shared" si="10"/>
        <v>0</v>
      </c>
      <c r="K66" s="556">
        <f t="shared" si="10"/>
        <v>4</v>
      </c>
      <c r="L66" s="556">
        <f t="shared" si="10"/>
        <v>1</v>
      </c>
      <c r="M66" s="556">
        <f t="shared" si="10"/>
        <v>17</v>
      </c>
      <c r="N66" s="556">
        <f t="shared" si="10"/>
        <v>6</v>
      </c>
      <c r="O66" s="556">
        <f t="shared" si="10"/>
        <v>1</v>
      </c>
      <c r="P66" s="556">
        <f t="shared" si="10"/>
        <v>0</v>
      </c>
      <c r="Q66" s="556">
        <f>Q65+Q56+Q35+Q26</f>
        <v>0</v>
      </c>
      <c r="R66" s="556">
        <f>R65+R56+R35+R26</f>
        <v>0</v>
      </c>
      <c r="S66" s="556">
        <f>S65+S56+S35+S26</f>
        <v>1</v>
      </c>
      <c r="T66" s="556">
        <f>T65+T56+T35+T26</f>
        <v>0</v>
      </c>
      <c r="U66" s="556">
        <f t="shared" si="10"/>
        <v>24</v>
      </c>
      <c r="V66" s="556">
        <f t="shared" si="10"/>
        <v>7</v>
      </c>
      <c r="W66" s="557">
        <f>U66+V66</f>
        <v>31</v>
      </c>
      <c r="X66" s="39"/>
    </row>
    <row r="67" spans="1:96" ht="24.75" customHeight="1"/>
    <row r="68" spans="1:96" ht="15.6">
      <c r="A68"/>
      <c r="B68"/>
      <c r="C68"/>
      <c r="D68"/>
      <c r="E68"/>
      <c r="F68"/>
      <c r="G68"/>
      <c r="H68"/>
      <c r="I68"/>
      <c r="J68"/>
      <c r="K68"/>
      <c r="L68"/>
      <c r="M68"/>
      <c r="N68"/>
      <c r="O68"/>
      <c r="P68"/>
      <c r="Q68"/>
      <c r="R68"/>
      <c r="S68"/>
      <c r="T68"/>
      <c r="U68"/>
      <c r="V68"/>
      <c r="W68"/>
    </row>
    <row r="69" spans="1:96" ht="15.6">
      <c r="A69"/>
      <c r="B69"/>
      <c r="C69"/>
      <c r="D69"/>
      <c r="E69"/>
      <c r="F69"/>
      <c r="G69"/>
      <c r="H69"/>
      <c r="I69"/>
      <c r="J69"/>
      <c r="K69"/>
      <c r="L69"/>
      <c r="M69"/>
      <c r="N69"/>
      <c r="O69"/>
      <c r="P69"/>
      <c r="Q69"/>
      <c r="R69"/>
      <c r="S69"/>
      <c r="T69"/>
      <c r="U69"/>
      <c r="V69"/>
      <c r="W69"/>
    </row>
    <row r="70" spans="1:96" ht="15.6">
      <c r="A70"/>
      <c r="B70"/>
      <c r="C70"/>
      <c r="D70"/>
      <c r="E70"/>
      <c r="F70"/>
      <c r="G70"/>
      <c r="H70"/>
      <c r="I70"/>
      <c r="J70"/>
      <c r="K70"/>
      <c r="L70"/>
      <c r="M70"/>
      <c r="N70"/>
      <c r="O70"/>
      <c r="P70"/>
      <c r="Q70"/>
      <c r="R70"/>
      <c r="S70"/>
      <c r="T70"/>
      <c r="U70"/>
      <c r="V70"/>
      <c r="W70"/>
    </row>
    <row r="71" spans="1:96" ht="15.6">
      <c r="A71"/>
      <c r="B71"/>
      <c r="C71"/>
      <c r="D71"/>
      <c r="E71"/>
      <c r="F71"/>
      <c r="G71"/>
      <c r="H71"/>
      <c r="I71"/>
      <c r="J71"/>
      <c r="K71"/>
      <c r="L71"/>
      <c r="M71"/>
      <c r="N71"/>
      <c r="O71"/>
      <c r="P71"/>
      <c r="Q71"/>
      <c r="R71"/>
      <c r="S71"/>
      <c r="T71"/>
      <c r="U71"/>
      <c r="V71"/>
      <c r="W71"/>
    </row>
    <row r="72" spans="1:96" ht="15.6">
      <c r="A72"/>
      <c r="B72"/>
      <c r="C72"/>
      <c r="D72"/>
      <c r="E72"/>
      <c r="F72"/>
      <c r="G72"/>
      <c r="H72"/>
      <c r="I72"/>
      <c r="J72"/>
      <c r="K72"/>
      <c r="L72"/>
      <c r="M72"/>
      <c r="N72"/>
      <c r="O72"/>
      <c r="P72"/>
      <c r="Q72"/>
      <c r="R72"/>
      <c r="S72"/>
      <c r="T72"/>
      <c r="U72"/>
      <c r="V72"/>
      <c r="W72"/>
    </row>
    <row r="73" spans="1:96" ht="15.6">
      <c r="A73"/>
      <c r="B73"/>
      <c r="C73"/>
      <c r="D73"/>
      <c r="E73"/>
      <c r="F73"/>
      <c r="G73"/>
      <c r="H73"/>
      <c r="I73"/>
      <c r="J73"/>
      <c r="K73"/>
      <c r="L73"/>
      <c r="M73"/>
      <c r="N73"/>
      <c r="O73"/>
      <c r="P73"/>
      <c r="Q73"/>
      <c r="R73"/>
      <c r="S73"/>
      <c r="T73"/>
      <c r="U73"/>
      <c r="V73"/>
      <c r="W73"/>
    </row>
    <row r="74" spans="1:96" ht="15.6">
      <c r="A74"/>
      <c r="B74"/>
      <c r="C74"/>
      <c r="D74"/>
      <c r="E74"/>
      <c r="F74"/>
      <c r="G74"/>
      <c r="H74"/>
      <c r="I74"/>
      <c r="J74"/>
      <c r="K74"/>
      <c r="L74"/>
      <c r="M74"/>
      <c r="N74"/>
      <c r="O74"/>
      <c r="P74"/>
      <c r="Q74"/>
      <c r="R74"/>
      <c r="S74"/>
      <c r="T74"/>
      <c r="U74"/>
      <c r="V74"/>
      <c r="W74"/>
    </row>
    <row r="75" spans="1:96" ht="15.6">
      <c r="A75"/>
      <c r="B75"/>
      <c r="C75"/>
      <c r="D75"/>
      <c r="E75"/>
      <c r="F75"/>
      <c r="G75"/>
      <c r="H75"/>
      <c r="I75"/>
      <c r="J75"/>
      <c r="K75"/>
      <c r="L75"/>
      <c r="M75"/>
      <c r="N75"/>
      <c r="O75"/>
      <c r="P75"/>
      <c r="Q75"/>
      <c r="R75"/>
      <c r="S75"/>
      <c r="T75"/>
      <c r="U75"/>
      <c r="V75"/>
      <c r="W75"/>
    </row>
    <row r="76" spans="1:96" ht="15.6">
      <c r="A76"/>
      <c r="B76"/>
      <c r="C76"/>
      <c r="D76"/>
      <c r="E76"/>
      <c r="F76"/>
      <c r="G76"/>
      <c r="H76"/>
      <c r="I76"/>
      <c r="J76"/>
      <c r="K76"/>
      <c r="L76"/>
      <c r="M76"/>
      <c r="N76"/>
      <c r="O76"/>
      <c r="P76"/>
      <c r="Q76"/>
      <c r="R76"/>
      <c r="S76"/>
      <c r="T76"/>
      <c r="U76"/>
      <c r="V76"/>
      <c r="W76"/>
    </row>
    <row r="77" spans="1:96" ht="15.6">
      <c r="A77"/>
      <c r="B77"/>
      <c r="C77"/>
      <c r="D77"/>
      <c r="E77"/>
      <c r="F77"/>
      <c r="G77"/>
      <c r="H77"/>
      <c r="I77"/>
      <c r="J77"/>
      <c r="K77"/>
      <c r="L77"/>
      <c r="M77"/>
      <c r="N77"/>
      <c r="O77"/>
      <c r="P77"/>
      <c r="Q77"/>
      <c r="R77"/>
      <c r="S77"/>
      <c r="T77"/>
      <c r="U77"/>
      <c r="V77"/>
      <c r="W77"/>
    </row>
    <row r="78" spans="1:96" ht="15.6">
      <c r="A78"/>
      <c r="B78"/>
      <c r="C78"/>
      <c r="D78"/>
      <c r="E78"/>
      <c r="F78"/>
      <c r="G78"/>
      <c r="H78"/>
      <c r="I78"/>
      <c r="J78"/>
      <c r="K78"/>
      <c r="L78"/>
      <c r="M78"/>
      <c r="N78"/>
      <c r="O78"/>
      <c r="P78"/>
      <c r="Q78"/>
      <c r="R78"/>
      <c r="S78"/>
      <c r="T78"/>
      <c r="U78"/>
      <c r="V78"/>
      <c r="W78"/>
    </row>
    <row r="79" spans="1:96" ht="15.6">
      <c r="A79"/>
      <c r="B79"/>
      <c r="C79"/>
      <c r="D79"/>
      <c r="E79"/>
      <c r="F79"/>
      <c r="G79"/>
      <c r="H79"/>
      <c r="I79"/>
      <c r="J79"/>
      <c r="K79"/>
      <c r="L79"/>
      <c r="M79"/>
      <c r="N79"/>
      <c r="O79"/>
      <c r="P79"/>
      <c r="Q79"/>
      <c r="R79"/>
      <c r="S79"/>
      <c r="T79"/>
      <c r="U79"/>
      <c r="V79"/>
      <c r="W79"/>
    </row>
    <row r="80" spans="1:96" ht="15.6">
      <c r="A80"/>
      <c r="B80"/>
      <c r="C80"/>
      <c r="D80"/>
      <c r="E80"/>
      <c r="F80"/>
      <c r="G80"/>
      <c r="H80"/>
      <c r="I80"/>
      <c r="J80"/>
      <c r="K80"/>
      <c r="L80"/>
      <c r="M80"/>
      <c r="N80"/>
      <c r="O80"/>
      <c r="P80"/>
      <c r="Q80"/>
      <c r="R80"/>
      <c r="S80"/>
      <c r="T80"/>
      <c r="U80"/>
      <c r="V80"/>
      <c r="W80"/>
    </row>
    <row r="81" spans="1:23" ht="15.6">
      <c r="A81"/>
      <c r="B81"/>
      <c r="C81"/>
      <c r="D81"/>
      <c r="E81"/>
      <c r="F81"/>
      <c r="G81"/>
      <c r="H81"/>
      <c r="I81"/>
      <c r="J81"/>
      <c r="K81"/>
      <c r="L81"/>
      <c r="M81"/>
      <c r="N81"/>
      <c r="O81"/>
      <c r="P81"/>
      <c r="Q81"/>
      <c r="R81"/>
      <c r="S81"/>
      <c r="T81"/>
      <c r="U81"/>
      <c r="V81"/>
      <c r="W81"/>
    </row>
    <row r="82" spans="1:23" ht="15.6">
      <c r="A82"/>
      <c r="B82"/>
      <c r="C82"/>
      <c r="D82"/>
      <c r="E82"/>
      <c r="F82"/>
      <c r="G82"/>
      <c r="H82"/>
      <c r="I82"/>
      <c r="J82"/>
      <c r="K82"/>
      <c r="L82"/>
      <c r="M82"/>
      <c r="N82"/>
      <c r="O82"/>
      <c r="P82"/>
      <c r="Q82"/>
      <c r="R82"/>
      <c r="S82"/>
      <c r="T82"/>
      <c r="U82"/>
      <c r="V82"/>
      <c r="W82"/>
    </row>
    <row r="83" spans="1:23" ht="15.6">
      <c r="A83"/>
      <c r="B83"/>
      <c r="C83"/>
      <c r="D83"/>
      <c r="E83"/>
      <c r="F83"/>
      <c r="G83"/>
      <c r="H83"/>
      <c r="I83"/>
      <c r="J83"/>
      <c r="K83"/>
      <c r="L83"/>
      <c r="M83"/>
      <c r="N83"/>
      <c r="O83"/>
      <c r="P83"/>
      <c r="Q83"/>
      <c r="R83"/>
      <c r="S83"/>
      <c r="T83"/>
      <c r="U83"/>
      <c r="V83"/>
      <c r="W83"/>
    </row>
    <row r="84" spans="1:23" ht="15.6">
      <c r="A84"/>
      <c r="B84"/>
      <c r="C84"/>
      <c r="D84"/>
      <c r="E84"/>
      <c r="F84"/>
      <c r="G84"/>
      <c r="H84"/>
      <c r="I84"/>
      <c r="J84"/>
      <c r="K84"/>
      <c r="L84"/>
      <c r="M84"/>
      <c r="N84"/>
      <c r="O84"/>
      <c r="P84"/>
      <c r="Q84"/>
      <c r="R84"/>
      <c r="S84"/>
      <c r="T84"/>
      <c r="U84"/>
      <c r="V84"/>
      <c r="W84"/>
    </row>
    <row r="85" spans="1:23" ht="15.6">
      <c r="A85"/>
      <c r="B85"/>
      <c r="C85"/>
      <c r="D85"/>
      <c r="E85"/>
      <c r="F85"/>
      <c r="G85"/>
      <c r="H85"/>
      <c r="I85"/>
      <c r="J85"/>
      <c r="K85"/>
      <c r="L85"/>
      <c r="M85"/>
      <c r="N85"/>
      <c r="O85"/>
      <c r="P85"/>
      <c r="Q85"/>
      <c r="R85"/>
      <c r="S85"/>
      <c r="T85"/>
      <c r="U85"/>
      <c r="V85"/>
      <c r="W85"/>
    </row>
    <row r="86" spans="1:23" ht="15.6">
      <c r="A86"/>
      <c r="B86"/>
      <c r="C86"/>
      <c r="D86"/>
      <c r="E86"/>
      <c r="F86"/>
      <c r="G86"/>
      <c r="H86"/>
      <c r="I86"/>
      <c r="J86"/>
      <c r="K86"/>
      <c r="L86"/>
      <c r="M86"/>
      <c r="N86"/>
      <c r="O86"/>
      <c r="P86"/>
      <c r="Q86"/>
      <c r="R86"/>
      <c r="S86"/>
      <c r="T86"/>
      <c r="U86"/>
      <c r="V86"/>
      <c r="W86"/>
    </row>
    <row r="87" spans="1:23" ht="15.6">
      <c r="A87"/>
      <c r="B87"/>
      <c r="C87"/>
      <c r="D87"/>
      <c r="E87"/>
      <c r="F87"/>
      <c r="G87"/>
      <c r="H87"/>
      <c r="I87"/>
      <c r="J87"/>
      <c r="K87"/>
      <c r="L87"/>
      <c r="M87"/>
      <c r="N87"/>
      <c r="O87"/>
      <c r="P87"/>
      <c r="Q87"/>
      <c r="R87"/>
      <c r="S87"/>
      <c r="T87"/>
      <c r="U87"/>
      <c r="V87"/>
      <c r="W87"/>
    </row>
    <row r="88" spans="1:23" ht="15.6">
      <c r="A88"/>
      <c r="B88"/>
      <c r="C88"/>
      <c r="D88"/>
      <c r="E88"/>
      <c r="F88"/>
      <c r="G88"/>
      <c r="H88"/>
      <c r="I88"/>
      <c r="J88"/>
      <c r="K88"/>
      <c r="L88"/>
      <c r="M88"/>
      <c r="N88"/>
      <c r="O88"/>
      <c r="P88"/>
      <c r="Q88"/>
      <c r="R88"/>
      <c r="S88"/>
      <c r="T88"/>
      <c r="U88"/>
      <c r="V88"/>
      <c r="W88"/>
    </row>
    <row r="89" spans="1:23" ht="15.6">
      <c r="A89"/>
      <c r="B89"/>
      <c r="C89"/>
      <c r="D89"/>
      <c r="E89"/>
      <c r="F89"/>
      <c r="G89"/>
      <c r="H89"/>
      <c r="I89"/>
      <c r="J89"/>
      <c r="K89"/>
      <c r="L89"/>
      <c r="M89"/>
      <c r="N89"/>
      <c r="O89"/>
      <c r="P89"/>
      <c r="Q89"/>
      <c r="R89"/>
      <c r="S89"/>
      <c r="T89"/>
      <c r="U89"/>
      <c r="V89"/>
      <c r="W89"/>
    </row>
    <row r="90" spans="1:23" ht="15.6">
      <c r="A90"/>
      <c r="B90"/>
      <c r="C90"/>
      <c r="D90"/>
      <c r="E90"/>
      <c r="F90"/>
      <c r="G90"/>
      <c r="H90"/>
      <c r="I90"/>
      <c r="J90"/>
      <c r="K90"/>
      <c r="L90"/>
      <c r="M90"/>
      <c r="N90"/>
      <c r="O90"/>
      <c r="P90"/>
      <c r="Q90"/>
      <c r="R90"/>
      <c r="S90"/>
      <c r="T90"/>
      <c r="U90"/>
      <c r="V90"/>
      <c r="W90"/>
    </row>
    <row r="91" spans="1:23" ht="15.6">
      <c r="A91"/>
      <c r="B91"/>
      <c r="C91"/>
      <c r="D91"/>
      <c r="E91"/>
      <c r="F91"/>
      <c r="G91"/>
      <c r="H91"/>
      <c r="I91"/>
      <c r="J91"/>
      <c r="K91"/>
      <c r="L91"/>
      <c r="M91"/>
      <c r="N91"/>
      <c r="O91"/>
      <c r="P91"/>
      <c r="Q91"/>
      <c r="R91"/>
      <c r="S91"/>
      <c r="T91"/>
      <c r="U91"/>
      <c r="V91"/>
      <c r="W91"/>
    </row>
    <row r="92" spans="1:23" ht="15.6">
      <c r="A92"/>
      <c r="B92"/>
      <c r="C92"/>
      <c r="D92"/>
      <c r="E92"/>
      <c r="F92"/>
      <c r="G92"/>
      <c r="H92"/>
      <c r="I92"/>
      <c r="J92"/>
      <c r="K92"/>
      <c r="L92"/>
      <c r="M92"/>
      <c r="N92"/>
      <c r="O92"/>
      <c r="P92"/>
      <c r="Q92"/>
      <c r="R92"/>
      <c r="S92"/>
      <c r="T92"/>
      <c r="U92"/>
      <c r="V92"/>
      <c r="W92"/>
    </row>
    <row r="93" spans="1:23" ht="15.6">
      <c r="A93"/>
      <c r="B93"/>
      <c r="C93"/>
      <c r="D93"/>
      <c r="E93"/>
      <c r="F93"/>
      <c r="G93"/>
      <c r="H93"/>
      <c r="I93"/>
      <c r="J93"/>
      <c r="K93"/>
      <c r="L93"/>
      <c r="M93"/>
      <c r="N93"/>
      <c r="O93"/>
      <c r="P93"/>
      <c r="Q93"/>
      <c r="R93"/>
      <c r="S93"/>
      <c r="T93"/>
      <c r="U93"/>
      <c r="V93"/>
      <c r="W93"/>
    </row>
    <row r="94" spans="1:23" ht="15.6">
      <c r="A94"/>
      <c r="B94"/>
      <c r="C94"/>
      <c r="D94"/>
      <c r="E94"/>
      <c r="F94"/>
      <c r="G94"/>
      <c r="H94"/>
      <c r="I94"/>
      <c r="J94"/>
      <c r="K94"/>
      <c r="L94"/>
      <c r="M94"/>
      <c r="N94"/>
      <c r="O94"/>
      <c r="P94"/>
      <c r="Q94"/>
      <c r="R94"/>
      <c r="S94"/>
      <c r="T94"/>
      <c r="U94"/>
      <c r="V94"/>
      <c r="W94"/>
    </row>
  </sheetData>
  <mergeCells count="61">
    <mergeCell ref="C42:D42"/>
    <mergeCell ref="E42:F42"/>
    <mergeCell ref="G42:H42"/>
    <mergeCell ref="I42:J42"/>
    <mergeCell ref="S42:T42"/>
    <mergeCell ref="K42:L42"/>
    <mergeCell ref="M42:N42"/>
    <mergeCell ref="O42:P42"/>
    <mergeCell ref="Q42:R42"/>
    <mergeCell ref="M40:N40"/>
    <mergeCell ref="O40:P40"/>
    <mergeCell ref="Q40:R40"/>
    <mergeCell ref="S40:T40"/>
    <mergeCell ref="C41:D41"/>
    <mergeCell ref="E41:F41"/>
    <mergeCell ref="G41:H41"/>
    <mergeCell ref="I41:J41"/>
    <mergeCell ref="K41:L41"/>
    <mergeCell ref="M41:N41"/>
    <mergeCell ref="O41:P41"/>
    <mergeCell ref="Q41:R41"/>
    <mergeCell ref="S41:T41"/>
    <mergeCell ref="C40:D40"/>
    <mergeCell ref="E40:F40"/>
    <mergeCell ref="G40:H40"/>
    <mergeCell ref="I40:J40"/>
    <mergeCell ref="K40:L40"/>
    <mergeCell ref="M11:N11"/>
    <mergeCell ref="O11:P11"/>
    <mergeCell ref="Q11:R11"/>
    <mergeCell ref="S11:T11"/>
    <mergeCell ref="C12:D12"/>
    <mergeCell ref="E12:F12"/>
    <mergeCell ref="G12:H12"/>
    <mergeCell ref="I12:J12"/>
    <mergeCell ref="K12:L12"/>
    <mergeCell ref="M12:N12"/>
    <mergeCell ref="O12:P12"/>
    <mergeCell ref="Q12:R12"/>
    <mergeCell ref="S12:T12"/>
    <mergeCell ref="C11:D11"/>
    <mergeCell ref="E11:F11"/>
    <mergeCell ref="G11:H11"/>
    <mergeCell ref="I11:J11"/>
    <mergeCell ref="K11:L1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s>
  <phoneticPr fontId="54" type="noConversion"/>
  <pageMargins left="0.47" right="0.35" top="0.48" bottom="0.38" header="0" footer="0.25"/>
  <pageSetup scale="94" fitToHeight="2" orientation="landscape" horizontalDpi="4294967292" verticalDpi="300" r:id="rId1"/>
  <headerFooter alignWithMargins="0">
    <oddFooter>Page &amp;P of &amp;N</oddFooter>
  </headerFooter>
  <rowBreaks count="1" manualBreakCount="1">
    <brk id="35"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CR94"/>
  <sheetViews>
    <sheetView showGridLines="0" showZeros="0" defaultGridColor="0" colorId="8" zoomScaleNormal="100" zoomScaleSheetLayoutView="50" workbookViewId="0">
      <selection activeCell="O53" sqref="O53"/>
    </sheetView>
  </sheetViews>
  <sheetFormatPr defaultColWidth="0" defaultRowHeight="10.15"/>
  <cols>
    <col min="1" max="1" width="32.375" style="12" customWidth="1"/>
    <col min="2" max="2" width="3" style="11" customWidth="1"/>
    <col min="3" max="3" width="4.125" style="12" customWidth="1"/>
    <col min="4" max="4" width="4.5" style="12" customWidth="1"/>
    <col min="5" max="5" width="4.125" style="12" customWidth="1"/>
    <col min="6" max="6" width="4.5" style="12" customWidth="1"/>
    <col min="7" max="7" width="4.125" style="12" customWidth="1"/>
    <col min="8" max="8" width="4.5" style="12" customWidth="1"/>
    <col min="9" max="9" width="4.125" style="12" customWidth="1"/>
    <col min="10" max="10" width="4.5" style="12" customWidth="1"/>
    <col min="11" max="11" width="4.125" style="12" customWidth="1"/>
    <col min="12" max="12" width="4.5" style="12" customWidth="1"/>
    <col min="13" max="14" width="5.125" style="12" customWidth="1"/>
    <col min="15" max="15" width="4.125" style="12" customWidth="1"/>
    <col min="16" max="20" width="4.5" style="12" customWidth="1"/>
    <col min="21" max="21" width="4.75" style="13" customWidth="1"/>
    <col min="22" max="23" width="5.625" style="13" customWidth="1"/>
    <col min="24" max="24" width="2.875" style="12" customWidth="1"/>
    <col min="25" max="53" width="6.625" style="12" hidden="1" customWidth="1"/>
    <col min="54" max="16384" width="0" style="12" hidden="1"/>
  </cols>
  <sheetData>
    <row r="1" spans="1:96" s="3" customFormat="1" ht="27.6">
      <c r="A1" s="814" t="str">
        <f>Cover!A3</f>
        <v>FALL ENROLLMENT 2021</v>
      </c>
      <c r="B1" s="33"/>
      <c r="C1" s="33"/>
      <c r="D1" s="33"/>
      <c r="E1" s="33"/>
      <c r="F1" s="33"/>
      <c r="G1" s="33"/>
      <c r="H1" s="33"/>
      <c r="I1" s="33"/>
      <c r="J1" s="33"/>
      <c r="K1" s="33"/>
      <c r="L1" s="33"/>
      <c r="M1" s="33"/>
      <c r="N1" s="33"/>
      <c r="O1" s="33"/>
      <c r="P1" s="33"/>
      <c r="Q1" s="33"/>
      <c r="R1" s="33"/>
      <c r="S1" s="33"/>
      <c r="T1" s="33"/>
      <c r="U1" s="33"/>
      <c r="V1" s="33"/>
      <c r="W1" s="33"/>
      <c r="X1" s="790">
        <f>IF(COUNT(C18:P25,C28:P29,C32:P34,C48:P55,C58:P59,C62:P64)&gt;0,1,0)</f>
        <v>1</v>
      </c>
    </row>
    <row r="2" spans="1:96" s="4" customFormat="1">
      <c r="A2" s="249" t="str">
        <f>Cover!A62</f>
        <v>2122</v>
      </c>
      <c r="B2" s="56"/>
      <c r="C2" s="56"/>
      <c r="D2" s="56"/>
      <c r="E2" s="56"/>
      <c r="F2" s="56"/>
      <c r="G2" s="56"/>
      <c r="H2" s="56"/>
      <c r="I2" s="56"/>
      <c r="J2" s="56"/>
    </row>
    <row r="3" spans="1:96" s="3" customFormat="1" ht="13.9" thickBot="1">
      <c r="A3" s="802" t="str">
        <f>Cover!$A$8</f>
        <v>Western Connecticut State University</v>
      </c>
      <c r="B3" s="57"/>
      <c r="C3" s="58"/>
      <c r="D3" s="57"/>
      <c r="E3" s="57"/>
      <c r="F3" s="57"/>
      <c r="G3" s="57"/>
      <c r="H3" s="57"/>
      <c r="I3" s="57"/>
      <c r="J3" s="57"/>
      <c r="K3" s="5" t="s">
        <v>48</v>
      </c>
      <c r="M3" s="2"/>
      <c r="N3" s="6" t="str">
        <f>+Cover!$A$10</f>
        <v>Jerry Wilcox</v>
      </c>
      <c r="O3" s="7"/>
      <c r="P3" s="8"/>
      <c r="Q3" s="8"/>
      <c r="R3" s="8"/>
      <c r="S3" s="8"/>
      <c r="T3" s="8"/>
      <c r="U3" s="7"/>
      <c r="X3" s="789"/>
    </row>
    <row r="4" spans="1:96" s="3" customFormat="1" ht="13.9" thickBot="1">
      <c r="A4" s="31">
        <f>Cover!$B$8</f>
        <v>130776</v>
      </c>
      <c r="B4" s="57"/>
      <c r="C4" s="58"/>
      <c r="D4" s="57"/>
      <c r="E4" s="56"/>
      <c r="F4" s="57"/>
      <c r="G4" s="56"/>
      <c r="H4" s="57"/>
      <c r="I4" s="56"/>
      <c r="J4" s="57"/>
      <c r="K4" s="5" t="s">
        <v>49</v>
      </c>
      <c r="M4" s="9"/>
      <c r="N4" s="6" t="str">
        <f>+Cover!$B$10</f>
        <v>Director, Institutional Research and Assessment</v>
      </c>
      <c r="O4" s="7"/>
      <c r="P4" s="8"/>
      <c r="Q4" s="8"/>
      <c r="R4" s="8"/>
      <c r="S4" s="8"/>
      <c r="T4" s="8"/>
      <c r="U4" s="7"/>
    </row>
    <row r="5" spans="1:96" s="3" customFormat="1" ht="16.149999999999999" thickBot="1">
      <c r="A5" s="32" t="str">
        <f>Cover!$C$8</f>
        <v>Danbury</v>
      </c>
      <c r="B5" s="57"/>
      <c r="C5" s="58"/>
      <c r="D5" s="57"/>
      <c r="E5" s="56"/>
      <c r="F5" s="57"/>
      <c r="G5" s="56"/>
      <c r="H5" s="57"/>
      <c r="I5" s="56"/>
      <c r="J5" s="57"/>
      <c r="K5" s="5" t="s">
        <v>50</v>
      </c>
      <c r="M5" s="9"/>
      <c r="N5" s="990" t="str">
        <f>+Cover!$C$10</f>
        <v>203-837-8242</v>
      </c>
      <c r="O5" s="1152"/>
      <c r="P5" s="1152"/>
      <c r="Q5" s="939"/>
      <c r="R5" s="939"/>
      <c r="S5" s="939"/>
      <c r="T5" s="939"/>
      <c r="U5" s="7"/>
    </row>
    <row r="6" spans="1:96" ht="10.5" customHeight="1">
      <c r="A6" s="10"/>
      <c r="B6" s="56"/>
      <c r="C6" s="56"/>
      <c r="D6" s="56"/>
      <c r="E6" s="56"/>
      <c r="F6" s="56"/>
      <c r="G6" s="56"/>
      <c r="H6" s="56"/>
      <c r="I6" s="56"/>
      <c r="J6" s="56"/>
      <c r="L6" s="9"/>
      <c r="N6" s="9"/>
      <c r="P6" s="9"/>
      <c r="Q6" s="9"/>
      <c r="R6" s="9"/>
      <c r="S6" s="9"/>
      <c r="T6" s="9"/>
      <c r="V6" s="14"/>
      <c r="W6" s="14"/>
    </row>
    <row r="7" spans="1:96" ht="20.45">
      <c r="A7" s="537" t="s">
        <v>51</v>
      </c>
    </row>
    <row r="8" spans="1:96">
      <c r="A8" s="10" t="s">
        <v>52</v>
      </c>
    </row>
    <row r="9" spans="1: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96">
      <c r="A10" s="999" t="s">
        <v>174</v>
      </c>
      <c r="B10" s="36"/>
      <c r="C10" s="991" t="s">
        <v>54</v>
      </c>
      <c r="D10" s="992"/>
      <c r="E10" s="991" t="s">
        <v>55</v>
      </c>
      <c r="F10" s="992"/>
      <c r="G10" s="991" t="s">
        <v>56</v>
      </c>
      <c r="H10" s="992"/>
      <c r="I10" s="991"/>
      <c r="J10" s="992"/>
      <c r="K10" s="991" t="s">
        <v>57</v>
      </c>
      <c r="L10" s="992"/>
      <c r="M10" s="991"/>
      <c r="N10" s="992"/>
      <c r="O10" s="991" t="s">
        <v>58</v>
      </c>
      <c r="P10" s="992"/>
      <c r="Q10" s="991" t="s">
        <v>59</v>
      </c>
      <c r="R10" s="992"/>
      <c r="S10" s="991" t="s">
        <v>60</v>
      </c>
      <c r="T10" s="992"/>
      <c r="U10" s="59" t="s">
        <v>61</v>
      </c>
      <c r="V10" s="60"/>
      <c r="W10" s="61"/>
    </row>
    <row r="11" spans="1:96" ht="12" customHeight="1">
      <c r="A11" s="1000"/>
      <c r="B11" s="20"/>
      <c r="C11" s="993" t="s">
        <v>62</v>
      </c>
      <c r="D11" s="994"/>
      <c r="E11" s="993" t="s">
        <v>63</v>
      </c>
      <c r="F11" s="994"/>
      <c r="G11" s="993" t="s">
        <v>64</v>
      </c>
      <c r="H11" s="994"/>
      <c r="I11" s="993" t="s">
        <v>65</v>
      </c>
      <c r="J11" s="994"/>
      <c r="K11" s="993" t="s">
        <v>66</v>
      </c>
      <c r="L11" s="994"/>
      <c r="M11" s="993" t="s">
        <v>67</v>
      </c>
      <c r="N11" s="994"/>
      <c r="O11" s="993" t="s">
        <v>68</v>
      </c>
      <c r="P11" s="994"/>
      <c r="Q11" s="993" t="s">
        <v>69</v>
      </c>
      <c r="R11" s="994"/>
      <c r="S11" s="993" t="s">
        <v>70</v>
      </c>
      <c r="T11" s="994"/>
      <c r="U11" s="62" t="s">
        <v>71</v>
      </c>
      <c r="V11" s="63"/>
      <c r="W11" s="64"/>
    </row>
    <row r="12" spans="1:96" s="17" customFormat="1" ht="12" customHeight="1">
      <c r="A12" s="986" t="s">
        <v>175</v>
      </c>
      <c r="B12" s="20"/>
      <c r="C12" s="995" t="s">
        <v>73</v>
      </c>
      <c r="D12" s="996"/>
      <c r="E12" s="995" t="s">
        <v>56</v>
      </c>
      <c r="F12" s="996"/>
      <c r="G12" s="995" t="s">
        <v>74</v>
      </c>
      <c r="H12" s="996"/>
      <c r="I12" s="995"/>
      <c r="J12" s="996"/>
      <c r="K12" s="995" t="s">
        <v>75</v>
      </c>
      <c r="L12" s="996"/>
      <c r="M12" s="995"/>
      <c r="N12" s="996"/>
      <c r="O12" s="995" t="s">
        <v>76</v>
      </c>
      <c r="P12" s="996"/>
      <c r="Q12" s="995" t="s">
        <v>77</v>
      </c>
      <c r="R12" s="996"/>
      <c r="S12" s="995" t="s">
        <v>78</v>
      </c>
      <c r="T12" s="996"/>
      <c r="U12" s="65" t="s">
        <v>79</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7.25" customHeight="1">
      <c r="A13" s="1153"/>
      <c r="B13" s="20" t="s">
        <v>80</v>
      </c>
      <c r="C13" s="68" t="s">
        <v>81</v>
      </c>
      <c r="D13" s="23" t="s">
        <v>82</v>
      </c>
      <c r="E13" s="68" t="s">
        <v>81</v>
      </c>
      <c r="F13" s="23" t="s">
        <v>82</v>
      </c>
      <c r="G13" s="68" t="s">
        <v>81</v>
      </c>
      <c r="H13" s="23" t="s">
        <v>82</v>
      </c>
      <c r="I13" s="68" t="s">
        <v>81</v>
      </c>
      <c r="J13" s="23" t="s">
        <v>82</v>
      </c>
      <c r="K13" s="68" t="s">
        <v>81</v>
      </c>
      <c r="L13" s="23" t="s">
        <v>82</v>
      </c>
      <c r="M13" s="68" t="s">
        <v>81</v>
      </c>
      <c r="N13" s="23" t="s">
        <v>82</v>
      </c>
      <c r="O13" s="68" t="s">
        <v>81</v>
      </c>
      <c r="P13" s="23" t="s">
        <v>82</v>
      </c>
      <c r="Q13" s="68" t="s">
        <v>81</v>
      </c>
      <c r="R13" s="23" t="s">
        <v>82</v>
      </c>
      <c r="S13" s="68" t="s">
        <v>81</v>
      </c>
      <c r="T13" s="23" t="s">
        <v>82</v>
      </c>
      <c r="U13" s="69" t="s">
        <v>81</v>
      </c>
      <c r="V13" s="21" t="s">
        <v>82</v>
      </c>
      <c r="W13" s="21" t="s">
        <v>83</v>
      </c>
    </row>
    <row r="14" spans="1:96" s="17" customFormat="1" ht="14.25" customHeight="1">
      <c r="A14" s="601" t="s">
        <v>84</v>
      </c>
      <c r="B14" s="20" t="s">
        <v>85</v>
      </c>
      <c r="C14" s="70" t="s">
        <v>86</v>
      </c>
      <c r="D14" s="70" t="s">
        <v>87</v>
      </c>
      <c r="E14" s="70" t="s">
        <v>88</v>
      </c>
      <c r="F14" s="70" t="s">
        <v>89</v>
      </c>
      <c r="G14" s="70" t="s">
        <v>90</v>
      </c>
      <c r="H14" s="70" t="s">
        <v>91</v>
      </c>
      <c r="I14" s="70" t="s">
        <v>92</v>
      </c>
      <c r="J14" s="70" t="s">
        <v>93</v>
      </c>
      <c r="K14" s="70" t="s">
        <v>94</v>
      </c>
      <c r="L14" s="70" t="s">
        <v>95</v>
      </c>
      <c r="M14" s="70" t="s">
        <v>96</v>
      </c>
      <c r="N14" s="70" t="s">
        <v>97</v>
      </c>
      <c r="O14" s="70" t="s">
        <v>98</v>
      </c>
      <c r="P14" s="70" t="s">
        <v>99</v>
      </c>
      <c r="Q14" s="70" t="s">
        <v>100</v>
      </c>
      <c r="R14" s="70" t="s">
        <v>101</v>
      </c>
      <c r="S14" s="70" t="s">
        <v>102</v>
      </c>
      <c r="T14" s="70" t="s">
        <v>103</v>
      </c>
      <c r="U14" s="71" t="s">
        <v>104</v>
      </c>
      <c r="V14" s="71" t="s">
        <v>105</v>
      </c>
      <c r="W14" s="71" t="s">
        <v>106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987" t="s">
        <v>107</v>
      </c>
      <c r="B15" s="988"/>
      <c r="C15" s="988"/>
      <c r="D15" s="988"/>
      <c r="E15" s="988"/>
      <c r="F15" s="988"/>
      <c r="G15" s="988"/>
      <c r="H15" s="988"/>
      <c r="I15" s="988"/>
      <c r="J15" s="988"/>
      <c r="K15" s="988"/>
      <c r="L15" s="988"/>
      <c r="M15" s="988"/>
      <c r="N15" s="988"/>
      <c r="O15" s="988"/>
      <c r="P15" s="988"/>
      <c r="Q15" s="988"/>
      <c r="R15" s="988"/>
      <c r="S15" s="988"/>
      <c r="T15" s="988"/>
      <c r="U15" s="988"/>
      <c r="V15" s="988"/>
      <c r="W15" s="98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96" ht="17.45">
      <c r="A16" s="548" t="s">
        <v>108</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96" ht="13.15">
      <c r="A17" s="37" t="s">
        <v>109</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4.1" customHeight="1">
      <c r="A18" s="823" t="s">
        <v>110</v>
      </c>
      <c r="B18" s="34" t="s">
        <v>111</v>
      </c>
      <c r="C18" s="40"/>
      <c r="D18" s="41"/>
      <c r="E18" s="40"/>
      <c r="F18" s="41"/>
      <c r="G18" s="40"/>
      <c r="H18" s="41"/>
      <c r="I18" s="40">
        <v>1</v>
      </c>
      <c r="J18" s="41"/>
      <c r="K18" s="40">
        <v>2</v>
      </c>
      <c r="L18" s="41"/>
      <c r="M18" s="40">
        <v>2</v>
      </c>
      <c r="N18" s="41">
        <v>4</v>
      </c>
      <c r="O18" s="40"/>
      <c r="P18" s="41"/>
      <c r="Q18" s="40"/>
      <c r="R18" s="46"/>
      <c r="S18" s="40">
        <v>2</v>
      </c>
      <c r="T18" s="46"/>
      <c r="U18" s="47">
        <f>C18+E18+G18+I18+K18+M18+O18+Q18+S18</f>
        <v>7</v>
      </c>
      <c r="V18" s="47">
        <f>D18+F18+H18+J18+L18+N18+P18+R18+T18</f>
        <v>4</v>
      </c>
      <c r="W18" s="44">
        <f>+V18+U18</f>
        <v>11</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4.1" customHeight="1">
      <c r="A19" s="824" t="s">
        <v>112</v>
      </c>
      <c r="B19" s="820" t="s">
        <v>113</v>
      </c>
      <c r="C19" s="40">
        <v>1</v>
      </c>
      <c r="D19" s="41"/>
      <c r="E19" s="40">
        <v>1</v>
      </c>
      <c r="F19" s="41"/>
      <c r="G19" s="40"/>
      <c r="H19" s="41"/>
      <c r="I19" s="40"/>
      <c r="J19" s="41"/>
      <c r="K19" s="40"/>
      <c r="L19" s="41"/>
      <c r="M19" s="40">
        <v>1</v>
      </c>
      <c r="N19" s="41">
        <v>3</v>
      </c>
      <c r="O19" s="40"/>
      <c r="P19" s="41"/>
      <c r="Q19" s="40"/>
      <c r="R19" s="46"/>
      <c r="S19" s="40"/>
      <c r="T19" s="46"/>
      <c r="U19" s="47">
        <f>C19+E19+G19+I19+K19+M19+O19+Q19+S19</f>
        <v>3</v>
      </c>
      <c r="V19" s="47">
        <f>D19+F19+H19+J19+L19+N19+P19+R19+T19</f>
        <v>3</v>
      </c>
      <c r="W19" s="618">
        <f>+V19+U19</f>
        <v>6</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4.1" customHeight="1">
      <c r="A20" s="829" t="s">
        <v>114</v>
      </c>
      <c r="B20" s="822"/>
      <c r="C20" s="136"/>
      <c r="D20" s="136"/>
      <c r="E20" s="136"/>
      <c r="F20" s="136"/>
      <c r="G20" s="136"/>
      <c r="H20" s="136"/>
      <c r="I20" s="136"/>
      <c r="J20" s="136"/>
      <c r="K20" s="136"/>
      <c r="L20" s="136"/>
      <c r="M20" s="136"/>
      <c r="N20" s="136"/>
      <c r="O20" s="136"/>
      <c r="P20" s="136"/>
      <c r="Q20" s="136"/>
      <c r="R20" s="136"/>
      <c r="S20" s="136"/>
      <c r="T20" s="136"/>
      <c r="U20" s="821"/>
      <c r="V20" s="821"/>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4.1" customHeight="1">
      <c r="A21" s="825" t="s">
        <v>115</v>
      </c>
      <c r="B21" s="22" t="s">
        <v>116</v>
      </c>
      <c r="C21" s="40"/>
      <c r="D21" s="41"/>
      <c r="E21" s="40"/>
      <c r="F21" s="41"/>
      <c r="G21" s="40"/>
      <c r="H21" s="41"/>
      <c r="I21" s="40"/>
      <c r="J21" s="41">
        <v>2</v>
      </c>
      <c r="K21" s="40">
        <v>1</v>
      </c>
      <c r="L21" s="41">
        <v>3</v>
      </c>
      <c r="M21" s="40">
        <v>5</v>
      </c>
      <c r="N21" s="41">
        <v>5</v>
      </c>
      <c r="O21" s="40"/>
      <c r="P21" s="41"/>
      <c r="Q21" s="40"/>
      <c r="R21" s="46"/>
      <c r="S21" s="40"/>
      <c r="T21" s="46"/>
      <c r="U21" s="47">
        <f t="shared" ref="U21:V26" si="0">C21+E21+G21+I21+K21+M21+O21+Q21+S21</f>
        <v>6</v>
      </c>
      <c r="V21" s="47">
        <f t="shared" si="0"/>
        <v>10</v>
      </c>
      <c r="W21" s="49">
        <f t="shared" ref="W21:W26" si="1">+V21+U21</f>
        <v>16</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4.1" customHeight="1">
      <c r="A22" s="825" t="s">
        <v>117</v>
      </c>
      <c r="B22" s="22" t="s">
        <v>118</v>
      </c>
      <c r="C22" s="40"/>
      <c r="D22" s="41"/>
      <c r="E22" s="40"/>
      <c r="F22" s="41"/>
      <c r="G22" s="40"/>
      <c r="H22" s="41"/>
      <c r="I22" s="40"/>
      <c r="J22" s="41"/>
      <c r="K22" s="40"/>
      <c r="L22" s="41">
        <v>3</v>
      </c>
      <c r="M22" s="40">
        <v>4</v>
      </c>
      <c r="N22" s="41">
        <v>2</v>
      </c>
      <c r="O22" s="40">
        <v>1</v>
      </c>
      <c r="P22" s="41"/>
      <c r="Q22" s="40"/>
      <c r="R22" s="46"/>
      <c r="S22" s="40">
        <v>2</v>
      </c>
      <c r="T22" s="46"/>
      <c r="U22" s="47">
        <f t="shared" si="0"/>
        <v>7</v>
      </c>
      <c r="V22" s="47">
        <f t="shared" si="0"/>
        <v>5</v>
      </c>
      <c r="W22" s="44">
        <f t="shared" si="1"/>
        <v>12</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4.1" customHeight="1">
      <c r="A23" s="825" t="s">
        <v>119</v>
      </c>
      <c r="B23" s="22" t="s">
        <v>120</v>
      </c>
      <c r="C23" s="40"/>
      <c r="D23" s="41"/>
      <c r="E23" s="40"/>
      <c r="F23" s="41">
        <v>1</v>
      </c>
      <c r="G23" s="40"/>
      <c r="H23" s="41"/>
      <c r="I23" s="40"/>
      <c r="J23" s="41"/>
      <c r="K23" s="40"/>
      <c r="L23" s="41"/>
      <c r="M23" s="40">
        <v>6</v>
      </c>
      <c r="N23" s="41">
        <v>3</v>
      </c>
      <c r="O23" s="40">
        <v>1</v>
      </c>
      <c r="P23" s="41"/>
      <c r="Q23" s="40"/>
      <c r="R23" s="46"/>
      <c r="S23" s="40"/>
      <c r="T23" s="46"/>
      <c r="U23" s="47">
        <f t="shared" si="0"/>
        <v>7</v>
      </c>
      <c r="V23" s="47">
        <f t="shared" si="0"/>
        <v>4</v>
      </c>
      <c r="W23" s="44">
        <f t="shared" si="1"/>
        <v>11</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4.1" customHeight="1">
      <c r="A24" s="825" t="s">
        <v>121</v>
      </c>
      <c r="B24" s="22" t="s">
        <v>122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7" t="s">
        <v>123</v>
      </c>
      <c r="B25" s="22" t="s">
        <v>124</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40.15" thickBot="1">
      <c r="A26" s="550" t="s">
        <v>125</v>
      </c>
      <c r="B26" s="551" t="s">
        <v>126</v>
      </c>
      <c r="C26" s="552">
        <f t="shared" ref="C26:P26" si="2">SUM(C18:C25)</f>
        <v>1</v>
      </c>
      <c r="D26" s="552">
        <f t="shared" si="2"/>
        <v>0</v>
      </c>
      <c r="E26" s="552">
        <f t="shared" si="2"/>
        <v>1</v>
      </c>
      <c r="F26" s="552">
        <f t="shared" si="2"/>
        <v>1</v>
      </c>
      <c r="G26" s="552">
        <f t="shared" si="2"/>
        <v>0</v>
      </c>
      <c r="H26" s="552">
        <f t="shared" si="2"/>
        <v>0</v>
      </c>
      <c r="I26" s="552">
        <f t="shared" si="2"/>
        <v>1</v>
      </c>
      <c r="J26" s="552">
        <f t="shared" si="2"/>
        <v>2</v>
      </c>
      <c r="K26" s="552">
        <f t="shared" si="2"/>
        <v>3</v>
      </c>
      <c r="L26" s="552">
        <f t="shared" si="2"/>
        <v>6</v>
      </c>
      <c r="M26" s="552">
        <f t="shared" si="2"/>
        <v>18</v>
      </c>
      <c r="N26" s="552">
        <f t="shared" si="2"/>
        <v>17</v>
      </c>
      <c r="O26" s="552">
        <f t="shared" si="2"/>
        <v>2</v>
      </c>
      <c r="P26" s="552">
        <f t="shared" si="2"/>
        <v>0</v>
      </c>
      <c r="Q26" s="552">
        <f>SUM(Q18:Q25)</f>
        <v>0</v>
      </c>
      <c r="R26" s="552">
        <f>SUM(R18:R25)</f>
        <v>0</v>
      </c>
      <c r="S26" s="552">
        <f>SUM(S18:S25)</f>
        <v>4</v>
      </c>
      <c r="T26" s="552">
        <f>SUM(T18:T25)</f>
        <v>0</v>
      </c>
      <c r="U26" s="552">
        <f t="shared" si="0"/>
        <v>30</v>
      </c>
      <c r="V26" s="552">
        <f t="shared" si="0"/>
        <v>26</v>
      </c>
      <c r="W26" s="553">
        <f t="shared" si="1"/>
        <v>56</v>
      </c>
      <c r="X26" s="608"/>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96" ht="18" hidden="1" customHeight="1" thickTop="1">
      <c r="A27" s="548" t="s">
        <v>127</v>
      </c>
      <c r="B27" s="239"/>
      <c r="C27" s="549"/>
      <c r="D27" s="549"/>
      <c r="E27" s="549"/>
      <c r="F27" s="549"/>
      <c r="G27" s="549"/>
      <c r="H27" s="549"/>
      <c r="I27" s="549"/>
      <c r="J27" s="549"/>
      <c r="K27" s="549"/>
      <c r="L27" s="549"/>
      <c r="M27" s="549"/>
      <c r="N27" s="549"/>
      <c r="O27" s="549"/>
      <c r="P27" s="549"/>
      <c r="Q27" s="549"/>
      <c r="R27" s="549"/>
      <c r="S27" s="549"/>
      <c r="T27" s="549"/>
      <c r="U27" s="371"/>
      <c r="V27" s="371"/>
      <c r="W27" s="485"/>
      <c r="X27" s="609"/>
    </row>
    <row r="28" spans="1:96" s="17" customFormat="1" ht="13.15" hidden="1">
      <c r="A28" s="38" t="s">
        <v>128</v>
      </c>
      <c r="B28" s="34" t="s">
        <v>129</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9" hidden="1" thickBot="1">
      <c r="A29" s="604" t="s">
        <v>130</v>
      </c>
      <c r="B29" s="605" t="s">
        <v>131</v>
      </c>
      <c r="C29" s="606"/>
      <c r="D29" s="607"/>
      <c r="E29" s="606"/>
      <c r="F29" s="607"/>
      <c r="G29" s="606"/>
      <c r="H29" s="607"/>
      <c r="I29" s="606"/>
      <c r="J29" s="607"/>
      <c r="K29" s="606"/>
      <c r="L29" s="607"/>
      <c r="M29" s="606"/>
      <c r="N29" s="607"/>
      <c r="O29" s="606"/>
      <c r="P29" s="607"/>
      <c r="Q29" s="607"/>
      <c r="R29" s="607"/>
      <c r="S29" s="607"/>
      <c r="T29" s="607"/>
      <c r="U29" s="299">
        <f>C29+E29+G29+I29+K29+M29+O29</f>
        <v>0</v>
      </c>
      <c r="V29" s="299">
        <f>D29+F29+H29+J29+L29+N29+P29</f>
        <v>0</v>
      </c>
      <c r="W29" s="297">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96" ht="18" thickTop="1">
      <c r="A30" s="548" t="s">
        <v>132</v>
      </c>
      <c r="B30" s="239"/>
      <c r="C30" s="549"/>
      <c r="D30" s="549"/>
      <c r="E30" s="549"/>
      <c r="F30" s="549"/>
      <c r="G30" s="549"/>
      <c r="H30" s="549"/>
      <c r="I30" s="549"/>
      <c r="J30" s="549"/>
      <c r="K30" s="549"/>
      <c r="L30" s="549"/>
      <c r="M30" s="549"/>
      <c r="N30" s="549"/>
      <c r="O30" s="549"/>
      <c r="P30" s="549"/>
      <c r="Q30" s="549"/>
      <c r="R30" s="549"/>
      <c r="S30" s="549"/>
      <c r="T30" s="549"/>
      <c r="U30" s="371"/>
      <c r="V30" s="371"/>
      <c r="W30" s="485"/>
    </row>
    <row r="31" spans="1:96" ht="13.15">
      <c r="A31" s="37" t="s">
        <v>133</v>
      </c>
      <c r="B31" s="242" t="s">
        <v>61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3.15">
      <c r="A32" s="538" t="s">
        <v>134</v>
      </c>
      <c r="B32" s="22" t="s">
        <v>135</v>
      </c>
      <c r="C32" s="40"/>
      <c r="D32" s="41"/>
      <c r="E32" s="40"/>
      <c r="F32" s="41"/>
      <c r="G32" s="40"/>
      <c r="H32" s="41"/>
      <c r="I32" s="40"/>
      <c r="J32" s="41"/>
      <c r="K32" s="40"/>
      <c r="L32" s="41"/>
      <c r="M32" s="40"/>
      <c r="N32" s="41"/>
      <c r="O32" s="40"/>
      <c r="P32" s="41"/>
      <c r="Q32" s="40"/>
      <c r="R32" s="46"/>
      <c r="S32" s="40"/>
      <c r="T32" s="46"/>
      <c r="U32" s="47">
        <f t="shared" ref="U32:V35" si="3">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3.15">
      <c r="A33" s="538" t="s">
        <v>136</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39.6">
      <c r="A34" s="547" t="s">
        <v>137</v>
      </c>
      <c r="B34" s="22" t="s">
        <v>138</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6" t="s">
        <v>139</v>
      </c>
      <c r="B35" s="24" t="s">
        <v>140</v>
      </c>
      <c r="C35" s="47">
        <f>SUM(C32:C34)</f>
        <v>0</v>
      </c>
      <c r="D35" s="47">
        <f t="shared" ref="D35:P35" si="4">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spans="1:96" ht="25.5" customHeight="1"/>
    <row r="37" spans="1:96" ht="15.6">
      <c r="A37" s="483" t="str">
        <f>+A42&amp;" PART A (Continued)"</f>
        <v>400000 PART A (Continued)</v>
      </c>
      <c r="B37" s="26" t="str">
        <f>A1</f>
        <v>FALL ENROLLMENT 2021</v>
      </c>
      <c r="C37" s="27"/>
      <c r="D37" s="27"/>
      <c r="E37" s="27"/>
      <c r="F37" s="27"/>
      <c r="G37" s="27"/>
      <c r="H37" s="27"/>
      <c r="I37" s="27"/>
      <c r="J37" s="27"/>
      <c r="K37" s="27"/>
      <c r="L37" s="27"/>
      <c r="M37" s="27"/>
      <c r="N37" s="27"/>
      <c r="O37" s="27"/>
      <c r="P37" s="27"/>
      <c r="Q37" s="27"/>
      <c r="R37" s="27"/>
      <c r="S37" s="27"/>
      <c r="T37" s="27"/>
      <c r="U37" s="13" t="s">
        <v>61</v>
      </c>
    </row>
    <row r="38" spans="1:96" ht="15.6">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3.15">
      <c r="A39" s="28" t="s">
        <v>61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96">
      <c r="A40" s="999" t="str">
        <f>+A10</f>
        <v>PHYSICAL SCIENCES</v>
      </c>
      <c r="B40" s="36"/>
      <c r="C40" s="991" t="s">
        <v>54</v>
      </c>
      <c r="D40" s="992"/>
      <c r="E40" s="991" t="s">
        <v>55</v>
      </c>
      <c r="F40" s="992"/>
      <c r="G40" s="991" t="s">
        <v>56</v>
      </c>
      <c r="H40" s="992"/>
      <c r="I40" s="991"/>
      <c r="J40" s="992"/>
      <c r="K40" s="991" t="s">
        <v>57</v>
      </c>
      <c r="L40" s="992"/>
      <c r="M40" s="991"/>
      <c r="N40" s="992"/>
      <c r="O40" s="991" t="s">
        <v>58</v>
      </c>
      <c r="P40" s="992"/>
      <c r="Q40" s="991" t="s">
        <v>59</v>
      </c>
      <c r="R40" s="992"/>
      <c r="S40" s="991" t="s">
        <v>60</v>
      </c>
      <c r="T40" s="992"/>
      <c r="U40" s="59" t="s">
        <v>61</v>
      </c>
      <c r="V40" s="60"/>
      <c r="W40" s="61"/>
    </row>
    <row r="41" spans="1:96" ht="12.75" customHeight="1">
      <c r="A41" s="1000"/>
      <c r="B41" s="20"/>
      <c r="C41" s="993" t="s">
        <v>62</v>
      </c>
      <c r="D41" s="994"/>
      <c r="E41" s="993" t="s">
        <v>63</v>
      </c>
      <c r="F41" s="994"/>
      <c r="G41" s="993" t="s">
        <v>64</v>
      </c>
      <c r="H41" s="994"/>
      <c r="I41" s="993" t="s">
        <v>65</v>
      </c>
      <c r="J41" s="994"/>
      <c r="K41" s="993" t="s">
        <v>66</v>
      </c>
      <c r="L41" s="994"/>
      <c r="M41" s="993" t="s">
        <v>67</v>
      </c>
      <c r="N41" s="994"/>
      <c r="O41" s="993" t="s">
        <v>68</v>
      </c>
      <c r="P41" s="994"/>
      <c r="Q41" s="993" t="s">
        <v>69</v>
      </c>
      <c r="R41" s="994"/>
      <c r="S41" s="993" t="s">
        <v>70</v>
      </c>
      <c r="T41" s="994"/>
      <c r="U41" s="62" t="s">
        <v>71</v>
      </c>
      <c r="V41" s="63"/>
      <c r="W41" s="64"/>
    </row>
    <row r="42" spans="1:96" s="17" customFormat="1">
      <c r="A42" s="986" t="str">
        <f>+A12</f>
        <v>400000</v>
      </c>
      <c r="B42" s="20"/>
      <c r="C42" s="995" t="s">
        <v>73</v>
      </c>
      <c r="D42" s="996"/>
      <c r="E42" s="995" t="s">
        <v>56</v>
      </c>
      <c r="F42" s="996"/>
      <c r="G42" s="995" t="s">
        <v>74</v>
      </c>
      <c r="H42" s="996"/>
      <c r="I42" s="995"/>
      <c r="J42" s="996"/>
      <c r="K42" s="995" t="s">
        <v>75</v>
      </c>
      <c r="L42" s="996"/>
      <c r="M42" s="995"/>
      <c r="N42" s="996"/>
      <c r="O42" s="995" t="s">
        <v>76</v>
      </c>
      <c r="P42" s="996"/>
      <c r="Q42" s="995" t="s">
        <v>77</v>
      </c>
      <c r="R42" s="996"/>
      <c r="S42" s="995" t="s">
        <v>78</v>
      </c>
      <c r="T42" s="996"/>
      <c r="U42" s="65" t="s">
        <v>79</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96" ht="15" customHeight="1">
      <c r="A43" s="1153"/>
      <c r="B43" s="20" t="s">
        <v>80</v>
      </c>
      <c r="C43" s="68" t="s">
        <v>81</v>
      </c>
      <c r="D43" s="23" t="s">
        <v>82</v>
      </c>
      <c r="E43" s="68" t="s">
        <v>81</v>
      </c>
      <c r="F43" s="23" t="s">
        <v>82</v>
      </c>
      <c r="G43" s="68" t="s">
        <v>81</v>
      </c>
      <c r="H43" s="23" t="s">
        <v>82</v>
      </c>
      <c r="I43" s="68" t="s">
        <v>81</v>
      </c>
      <c r="J43" s="23" t="s">
        <v>82</v>
      </c>
      <c r="K43" s="68" t="s">
        <v>81</v>
      </c>
      <c r="L43" s="23" t="s">
        <v>82</v>
      </c>
      <c r="M43" s="68" t="s">
        <v>81</v>
      </c>
      <c r="N43" s="23" t="s">
        <v>82</v>
      </c>
      <c r="O43" s="68" t="s">
        <v>81</v>
      </c>
      <c r="P43" s="23" t="s">
        <v>82</v>
      </c>
      <c r="Q43" s="68" t="s">
        <v>81</v>
      </c>
      <c r="R43" s="23" t="s">
        <v>82</v>
      </c>
      <c r="S43" s="68" t="s">
        <v>81</v>
      </c>
      <c r="T43" s="23" t="s">
        <v>82</v>
      </c>
      <c r="U43" s="69" t="s">
        <v>81</v>
      </c>
      <c r="V43" s="21" t="s">
        <v>82</v>
      </c>
      <c r="W43" s="21" t="s">
        <v>83</v>
      </c>
    </row>
    <row r="44" spans="1:96" s="17" customFormat="1" ht="13.15">
      <c r="A44" s="602" t="s">
        <v>84</v>
      </c>
      <c r="B44" s="19" t="s">
        <v>85</v>
      </c>
      <c r="C44" s="70" t="s">
        <v>86</v>
      </c>
      <c r="D44" s="70" t="s">
        <v>87</v>
      </c>
      <c r="E44" s="70" t="s">
        <v>88</v>
      </c>
      <c r="F44" s="70" t="s">
        <v>89</v>
      </c>
      <c r="G44" s="70" t="s">
        <v>90</v>
      </c>
      <c r="H44" s="70" t="s">
        <v>91</v>
      </c>
      <c r="I44" s="70" t="s">
        <v>92</v>
      </c>
      <c r="J44" s="70" t="s">
        <v>93</v>
      </c>
      <c r="K44" s="70" t="s">
        <v>94</v>
      </c>
      <c r="L44" s="70" t="s">
        <v>95</v>
      </c>
      <c r="M44" s="70" t="s">
        <v>96</v>
      </c>
      <c r="N44" s="70" t="s">
        <v>97</v>
      </c>
      <c r="O44" s="70" t="s">
        <v>98</v>
      </c>
      <c r="P44" s="70" t="s">
        <v>99</v>
      </c>
      <c r="Q44" s="70" t="s">
        <v>100</v>
      </c>
      <c r="R44" s="70" t="s">
        <v>101</v>
      </c>
      <c r="S44" s="70" t="s">
        <v>102</v>
      </c>
      <c r="T44" s="70" t="s">
        <v>103</v>
      </c>
      <c r="U44" s="71" t="s">
        <v>104</v>
      </c>
      <c r="V44" s="71" t="s">
        <v>105</v>
      </c>
      <c r="W44" s="71" t="s">
        <v>106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9">
      <c r="A45" s="987" t="s">
        <v>141</v>
      </c>
      <c r="B45" s="988"/>
      <c r="C45" s="988"/>
      <c r="D45" s="988"/>
      <c r="E45" s="988"/>
      <c r="F45" s="988"/>
      <c r="G45" s="988"/>
      <c r="H45" s="988"/>
      <c r="I45" s="988"/>
      <c r="J45" s="988"/>
      <c r="K45" s="988"/>
      <c r="L45" s="988"/>
      <c r="M45" s="988"/>
      <c r="N45" s="988"/>
      <c r="O45" s="988"/>
      <c r="P45" s="988"/>
      <c r="Q45" s="988"/>
      <c r="R45" s="988"/>
      <c r="S45" s="988"/>
      <c r="T45" s="988"/>
      <c r="U45" s="988"/>
      <c r="V45" s="988"/>
      <c r="W45" s="98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96" ht="17.45">
      <c r="A46" s="548" t="s">
        <v>108</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96" ht="13.15">
      <c r="A47" s="37" t="s">
        <v>109</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3.15">
      <c r="A48" s="823" t="s">
        <v>110</v>
      </c>
      <c r="B48" s="34">
        <v>15</v>
      </c>
      <c r="C48" s="40"/>
      <c r="D48" s="41"/>
      <c r="E48" s="40"/>
      <c r="F48" s="41"/>
      <c r="G48" s="40"/>
      <c r="H48" s="41"/>
      <c r="I48" s="40"/>
      <c r="J48" s="41"/>
      <c r="K48" s="40"/>
      <c r="L48" s="41"/>
      <c r="M48" s="40"/>
      <c r="N48" s="41"/>
      <c r="O48" s="40"/>
      <c r="P48" s="41"/>
      <c r="Q48" s="40"/>
      <c r="R48" s="46"/>
      <c r="S48" s="40"/>
      <c r="T48" s="46"/>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3.15">
      <c r="A49" s="824" t="s">
        <v>112</v>
      </c>
      <c r="B49" s="22" t="s">
        <v>142</v>
      </c>
      <c r="C49" s="40"/>
      <c r="D49" s="41"/>
      <c r="E49" s="40"/>
      <c r="F49" s="41"/>
      <c r="G49" s="40"/>
      <c r="H49" s="41"/>
      <c r="I49" s="40"/>
      <c r="J49" s="41"/>
      <c r="K49" s="40"/>
      <c r="L49" s="41"/>
      <c r="M49" s="40"/>
      <c r="N49" s="41">
        <v>1</v>
      </c>
      <c r="O49" s="40"/>
      <c r="P49" s="41"/>
      <c r="Q49" s="40"/>
      <c r="R49" s="46"/>
      <c r="S49" s="40"/>
      <c r="T49" s="46"/>
      <c r="U49" s="47">
        <f>C49+E49+G49+I49+K49+M49+O49+Q49+S49</f>
        <v>0</v>
      </c>
      <c r="V49" s="47">
        <f>D49+F49+H49+J49+L49+N49+P49+R49+T49</f>
        <v>1</v>
      </c>
      <c r="W49" s="44">
        <f>+V49+U49</f>
        <v>1</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9">
      <c r="A50" s="829" t="s">
        <v>143</v>
      </c>
      <c r="B50" s="822"/>
      <c r="C50" s="826"/>
      <c r="D50" s="826"/>
      <c r="E50" s="826"/>
      <c r="F50" s="826"/>
      <c r="G50" s="826"/>
      <c r="H50" s="826"/>
      <c r="I50" s="826"/>
      <c r="J50" s="826"/>
      <c r="K50" s="826"/>
      <c r="L50" s="826"/>
      <c r="M50" s="826"/>
      <c r="N50" s="826"/>
      <c r="O50" s="826"/>
      <c r="P50" s="826"/>
      <c r="Q50" s="826"/>
      <c r="R50" s="826"/>
      <c r="S50" s="826"/>
      <c r="T50" s="826"/>
      <c r="U50" s="821"/>
      <c r="V50" s="821"/>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3.15">
      <c r="A51" s="825" t="s">
        <v>115</v>
      </c>
      <c r="B51" s="22" t="s">
        <v>144</v>
      </c>
      <c r="C51" s="40"/>
      <c r="D51" s="41"/>
      <c r="E51" s="40"/>
      <c r="F51" s="41"/>
      <c r="G51" s="40"/>
      <c r="H51" s="41"/>
      <c r="I51" s="40"/>
      <c r="J51" s="41"/>
      <c r="K51" s="40"/>
      <c r="L51" s="41"/>
      <c r="M51" s="40">
        <v>1</v>
      </c>
      <c r="N51" s="41"/>
      <c r="O51" s="40"/>
      <c r="P51" s="41"/>
      <c r="Q51" s="40"/>
      <c r="R51" s="46"/>
      <c r="S51" s="40"/>
      <c r="T51" s="46"/>
      <c r="U51" s="47">
        <f t="shared" ref="U51:V56" si="5">C51+E51+G51+I51+K51+M51+O51+Q51+S51</f>
        <v>1</v>
      </c>
      <c r="V51" s="47">
        <f t="shared" si="5"/>
        <v>0</v>
      </c>
      <c r="W51" s="44">
        <f t="shared" ref="W51:W56" si="6">+V51+U51</f>
        <v>1</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3.15">
      <c r="A52" s="825" t="s">
        <v>117</v>
      </c>
      <c r="B52" s="22" t="s">
        <v>145</v>
      </c>
      <c r="C52" s="40"/>
      <c r="D52" s="41"/>
      <c r="E52" s="40"/>
      <c r="F52" s="41"/>
      <c r="G52" s="40"/>
      <c r="H52" s="41"/>
      <c r="I52" s="40"/>
      <c r="J52" s="41"/>
      <c r="K52" s="40"/>
      <c r="L52" s="41"/>
      <c r="M52" s="40">
        <v>2</v>
      </c>
      <c r="N52" s="41">
        <v>3</v>
      </c>
      <c r="O52" s="40"/>
      <c r="P52" s="41"/>
      <c r="Q52" s="40"/>
      <c r="R52" s="46"/>
      <c r="S52" s="40"/>
      <c r="T52" s="46"/>
      <c r="U52" s="47">
        <f t="shared" si="5"/>
        <v>2</v>
      </c>
      <c r="V52" s="47">
        <f t="shared" si="5"/>
        <v>3</v>
      </c>
      <c r="W52" s="44">
        <f t="shared" si="6"/>
        <v>5</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3.15">
      <c r="A53" s="825" t="s">
        <v>119</v>
      </c>
      <c r="B53" s="22" t="s">
        <v>146</v>
      </c>
      <c r="C53" s="40"/>
      <c r="D53" s="41"/>
      <c r="E53" s="40"/>
      <c r="F53" s="41"/>
      <c r="G53" s="40"/>
      <c r="H53" s="41"/>
      <c r="I53" s="40"/>
      <c r="J53" s="41"/>
      <c r="K53" s="40"/>
      <c r="L53" s="41">
        <v>1</v>
      </c>
      <c r="M53" s="40">
        <v>6</v>
      </c>
      <c r="N53" s="41">
        <v>2</v>
      </c>
      <c r="O53" s="40"/>
      <c r="P53" s="41"/>
      <c r="Q53" s="40"/>
      <c r="R53" s="46"/>
      <c r="S53" s="40"/>
      <c r="T53" s="46"/>
      <c r="U53" s="47">
        <f t="shared" si="5"/>
        <v>6</v>
      </c>
      <c r="V53" s="47">
        <f t="shared" si="5"/>
        <v>3</v>
      </c>
      <c r="W53" s="44">
        <f t="shared" si="6"/>
        <v>9</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3.15">
      <c r="A54" s="825" t="s">
        <v>121</v>
      </c>
      <c r="B54" s="22" t="s">
        <v>147</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45">
      <c r="A55" s="547" t="s">
        <v>123</v>
      </c>
      <c r="B55" s="22" t="s">
        <v>148</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40.15" thickBot="1">
      <c r="A56" s="550" t="s">
        <v>149</v>
      </c>
      <c r="B56" s="551" t="s">
        <v>150</v>
      </c>
      <c r="C56" s="560">
        <f t="shared" ref="C56:P56" si="7">SUM(C48:C55)</f>
        <v>0</v>
      </c>
      <c r="D56" s="560">
        <f t="shared" si="7"/>
        <v>0</v>
      </c>
      <c r="E56" s="560">
        <f t="shared" si="7"/>
        <v>0</v>
      </c>
      <c r="F56" s="560">
        <f t="shared" si="7"/>
        <v>0</v>
      </c>
      <c r="G56" s="560">
        <f t="shared" si="7"/>
        <v>0</v>
      </c>
      <c r="H56" s="560">
        <f t="shared" si="7"/>
        <v>0</v>
      </c>
      <c r="I56" s="560">
        <f t="shared" si="7"/>
        <v>0</v>
      </c>
      <c r="J56" s="560">
        <f t="shared" si="7"/>
        <v>0</v>
      </c>
      <c r="K56" s="560">
        <f t="shared" si="7"/>
        <v>0</v>
      </c>
      <c r="L56" s="560">
        <f t="shared" si="7"/>
        <v>1</v>
      </c>
      <c r="M56" s="560">
        <f t="shared" si="7"/>
        <v>9</v>
      </c>
      <c r="N56" s="560">
        <f t="shared" si="7"/>
        <v>6</v>
      </c>
      <c r="O56" s="560">
        <f t="shared" si="7"/>
        <v>0</v>
      </c>
      <c r="P56" s="560">
        <f t="shared" si="7"/>
        <v>0</v>
      </c>
      <c r="Q56" s="560">
        <f>SUM(Q48:Q55)</f>
        <v>0</v>
      </c>
      <c r="R56" s="560">
        <f>SUM(R48:R55)</f>
        <v>0</v>
      </c>
      <c r="S56" s="560">
        <f>SUM(S48:S55)</f>
        <v>0</v>
      </c>
      <c r="T56" s="560">
        <f>SUM(T48:T55)</f>
        <v>0</v>
      </c>
      <c r="U56" s="552">
        <f t="shared" si="5"/>
        <v>9</v>
      </c>
      <c r="V56" s="552">
        <f t="shared" si="5"/>
        <v>7</v>
      </c>
      <c r="W56" s="553">
        <f t="shared" si="6"/>
        <v>16</v>
      </c>
      <c r="X56" s="608"/>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96" ht="21.75" hidden="1" customHeight="1" thickTop="1">
      <c r="A57" s="548" t="s">
        <v>127</v>
      </c>
      <c r="B57" s="239"/>
      <c r="C57" s="549"/>
      <c r="D57" s="549"/>
      <c r="E57" s="549"/>
      <c r="F57" s="549"/>
      <c r="G57" s="549"/>
      <c r="H57" s="549"/>
      <c r="I57" s="549"/>
      <c r="J57" s="549"/>
      <c r="K57" s="549"/>
      <c r="L57" s="549"/>
      <c r="M57" s="549"/>
      <c r="N57" s="549"/>
      <c r="O57" s="549"/>
      <c r="P57" s="549"/>
      <c r="Q57" s="549"/>
      <c r="R57" s="549"/>
      <c r="S57" s="549"/>
      <c r="T57" s="549"/>
      <c r="U57" s="371"/>
      <c r="V57" s="371"/>
      <c r="W57" s="484"/>
      <c r="X57" s="609"/>
    </row>
    <row r="58" spans="1:96" s="17" customFormat="1" ht="13.15" hidden="1">
      <c r="A58" s="38" t="s">
        <v>128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9" hidden="1" thickBot="1">
      <c r="A59" s="604" t="s">
        <v>130</v>
      </c>
      <c r="B59" s="605">
        <v>24</v>
      </c>
      <c r="C59" s="610"/>
      <c r="D59" s="611"/>
      <c r="E59" s="610"/>
      <c r="F59" s="611"/>
      <c r="G59" s="610"/>
      <c r="H59" s="611"/>
      <c r="I59" s="610"/>
      <c r="J59" s="611"/>
      <c r="K59" s="610"/>
      <c r="L59" s="611"/>
      <c r="M59" s="610"/>
      <c r="N59" s="611"/>
      <c r="O59" s="610"/>
      <c r="P59" s="611"/>
      <c r="Q59" s="611"/>
      <c r="R59" s="611"/>
      <c r="S59" s="611"/>
      <c r="T59" s="611"/>
      <c r="U59" s="297">
        <f>C59+E59+G59+I59+K59+M59+O59</f>
        <v>0</v>
      </c>
      <c r="V59" s="297">
        <f>D59+F59+H59+J59+L59+N59+P59</f>
        <v>0</v>
      </c>
      <c r="W59" s="297">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96" ht="18" thickTop="1">
      <c r="A60" s="548" t="s">
        <v>132</v>
      </c>
      <c r="B60" s="239"/>
      <c r="C60" s="549"/>
      <c r="D60" s="549"/>
      <c r="E60" s="549"/>
      <c r="F60" s="549"/>
      <c r="G60" s="549"/>
      <c r="H60" s="549"/>
      <c r="I60" s="549"/>
      <c r="J60" s="549"/>
      <c r="K60" s="549"/>
      <c r="L60" s="549"/>
      <c r="M60" s="549"/>
      <c r="N60" s="549"/>
      <c r="O60" s="549"/>
      <c r="P60" s="549"/>
      <c r="Q60" s="549"/>
      <c r="R60" s="549"/>
      <c r="S60" s="549"/>
      <c r="T60" s="549"/>
      <c r="U60" s="371"/>
      <c r="V60" s="371"/>
      <c r="W60" s="485"/>
    </row>
    <row r="61" spans="1:96" ht="13.15">
      <c r="A61" s="37" t="s">
        <v>133</v>
      </c>
      <c r="B61" s="242" t="s">
        <v>61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3.15">
      <c r="A62" s="538" t="s">
        <v>134</v>
      </c>
      <c r="B62" s="22" t="s">
        <v>151</v>
      </c>
      <c r="C62" s="40"/>
      <c r="D62" s="41"/>
      <c r="E62" s="40"/>
      <c r="F62" s="41"/>
      <c r="G62" s="40"/>
      <c r="H62" s="41"/>
      <c r="I62" s="40"/>
      <c r="J62" s="41"/>
      <c r="K62" s="40"/>
      <c r="L62" s="41"/>
      <c r="M62" s="40"/>
      <c r="N62" s="41"/>
      <c r="O62" s="40"/>
      <c r="P62" s="41"/>
      <c r="Q62" s="40"/>
      <c r="R62" s="46"/>
      <c r="S62" s="40"/>
      <c r="T62" s="46"/>
      <c r="U62" s="47">
        <f t="shared" ref="U62:V65" si="8">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3.15">
      <c r="A63" s="538" t="s">
        <v>136</v>
      </c>
      <c r="B63" s="34" t="s">
        <v>152</v>
      </c>
      <c r="C63" s="40"/>
      <c r="D63" s="41"/>
      <c r="E63" s="40"/>
      <c r="F63" s="41"/>
      <c r="G63" s="40"/>
      <c r="H63" s="41"/>
      <c r="I63" s="40"/>
      <c r="J63" s="41"/>
      <c r="K63" s="40"/>
      <c r="L63" s="41"/>
      <c r="M63" s="40"/>
      <c r="N63" s="41"/>
      <c r="O63" s="40"/>
      <c r="P63" s="41"/>
      <c r="Q63" s="40"/>
      <c r="R63" s="46"/>
      <c r="S63" s="40"/>
      <c r="T63" s="46"/>
      <c r="U63" s="47">
        <f t="shared" si="8"/>
        <v>0</v>
      </c>
      <c r="V63" s="47">
        <f t="shared" si="8"/>
        <v>0</v>
      </c>
      <c r="W63" s="44">
        <f>+V63+U63</f>
        <v>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39.6">
      <c r="A64" s="547" t="s">
        <v>137</v>
      </c>
      <c r="B64" s="22" t="s">
        <v>153</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7" t="s">
        <v>173</v>
      </c>
      <c r="B65" s="35" t="s">
        <v>155</v>
      </c>
      <c r="C65" s="47">
        <f t="shared" ref="C65:P65" si="9">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0</v>
      </c>
      <c r="M65" s="47">
        <f t="shared" si="9"/>
        <v>0</v>
      </c>
      <c r="N65" s="47">
        <f t="shared" si="9"/>
        <v>0</v>
      </c>
      <c r="O65" s="47">
        <f t="shared" si="9"/>
        <v>0</v>
      </c>
      <c r="P65" s="47">
        <f t="shared" si="9"/>
        <v>0</v>
      </c>
      <c r="Q65" s="47">
        <f>SUM(Q62:Q64)</f>
        <v>0</v>
      </c>
      <c r="R65" s="47">
        <f>SUM(R62:R64)</f>
        <v>0</v>
      </c>
      <c r="S65" s="47">
        <f>SUM(S62:S64)</f>
        <v>0</v>
      </c>
      <c r="T65" s="47">
        <f>SUM(T62:T64)</f>
        <v>0</v>
      </c>
      <c r="U65" s="552">
        <f t="shared" si="8"/>
        <v>0</v>
      </c>
      <c r="V65" s="552">
        <f t="shared" si="8"/>
        <v>0</v>
      </c>
      <c r="W65" s="51">
        <f>U65+V65</f>
        <v>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96" s="29" customFormat="1" ht="32.25" customHeight="1" thickTop="1">
      <c r="A66" s="554" t="s">
        <v>156</v>
      </c>
      <c r="B66" s="555" t="s">
        <v>157</v>
      </c>
      <c r="C66" s="556">
        <f t="shared" ref="C66:V66" si="10">C65+C56+C35+C26</f>
        <v>1</v>
      </c>
      <c r="D66" s="556">
        <f t="shared" si="10"/>
        <v>0</v>
      </c>
      <c r="E66" s="556">
        <f t="shared" si="10"/>
        <v>1</v>
      </c>
      <c r="F66" s="556">
        <f t="shared" si="10"/>
        <v>1</v>
      </c>
      <c r="G66" s="556">
        <f t="shared" si="10"/>
        <v>0</v>
      </c>
      <c r="H66" s="556">
        <f t="shared" si="10"/>
        <v>0</v>
      </c>
      <c r="I66" s="556">
        <f t="shared" si="10"/>
        <v>1</v>
      </c>
      <c r="J66" s="556">
        <f t="shared" si="10"/>
        <v>2</v>
      </c>
      <c r="K66" s="556">
        <f t="shared" si="10"/>
        <v>3</v>
      </c>
      <c r="L66" s="556">
        <f t="shared" si="10"/>
        <v>7</v>
      </c>
      <c r="M66" s="556">
        <f t="shared" si="10"/>
        <v>27</v>
      </c>
      <c r="N66" s="556">
        <f t="shared" si="10"/>
        <v>23</v>
      </c>
      <c r="O66" s="556">
        <f t="shared" si="10"/>
        <v>2</v>
      </c>
      <c r="P66" s="556">
        <f t="shared" si="10"/>
        <v>0</v>
      </c>
      <c r="Q66" s="556">
        <f>Q65+Q56+Q35+Q26</f>
        <v>0</v>
      </c>
      <c r="R66" s="556">
        <f>R65+R56+R35+R26</f>
        <v>0</v>
      </c>
      <c r="S66" s="556">
        <f>S65+S56+S35+S26</f>
        <v>4</v>
      </c>
      <c r="T66" s="556">
        <f>T65+T56+T35+T26</f>
        <v>0</v>
      </c>
      <c r="U66" s="556">
        <f t="shared" si="10"/>
        <v>39</v>
      </c>
      <c r="V66" s="556">
        <f t="shared" si="10"/>
        <v>33</v>
      </c>
      <c r="W66" s="557">
        <f>U66+V66</f>
        <v>72</v>
      </c>
      <c r="X66" s="39"/>
    </row>
    <row r="67" spans="1:96" ht="24.75" customHeight="1"/>
    <row r="68" spans="1:96" ht="15.6">
      <c r="A68"/>
      <c r="B68"/>
      <c r="C68"/>
      <c r="D68"/>
      <c r="E68"/>
      <c r="F68"/>
      <c r="G68"/>
      <c r="H68"/>
      <c r="I68"/>
      <c r="J68"/>
      <c r="K68"/>
      <c r="L68"/>
      <c r="M68"/>
      <c r="N68"/>
      <c r="O68"/>
      <c r="P68"/>
      <c r="Q68"/>
      <c r="R68"/>
      <c r="S68"/>
      <c r="T68"/>
      <c r="U68"/>
      <c r="V68"/>
      <c r="W68"/>
    </row>
    <row r="69" spans="1:96" ht="15.6">
      <c r="A69"/>
      <c r="B69"/>
      <c r="C69"/>
      <c r="D69"/>
      <c r="E69"/>
      <c r="F69"/>
      <c r="G69"/>
      <c r="H69"/>
      <c r="I69"/>
      <c r="J69"/>
      <c r="K69"/>
      <c r="L69"/>
      <c r="M69"/>
      <c r="N69"/>
      <c r="O69"/>
      <c r="P69"/>
      <c r="Q69"/>
      <c r="R69"/>
      <c r="S69"/>
      <c r="T69"/>
      <c r="U69"/>
      <c r="V69"/>
      <c r="W69"/>
    </row>
    <row r="70" spans="1:96" ht="15.6">
      <c r="A70"/>
      <c r="B70"/>
      <c r="C70"/>
      <c r="D70"/>
      <c r="E70"/>
      <c r="F70"/>
      <c r="G70"/>
      <c r="H70"/>
      <c r="I70"/>
      <c r="J70"/>
      <c r="K70"/>
      <c r="L70"/>
      <c r="M70"/>
      <c r="N70"/>
      <c r="O70"/>
      <c r="P70"/>
      <c r="Q70"/>
      <c r="R70"/>
      <c r="S70"/>
      <c r="T70"/>
      <c r="U70"/>
      <c r="V70"/>
      <c r="W70"/>
    </row>
    <row r="71" spans="1:96" ht="15.6">
      <c r="A71"/>
      <c r="B71"/>
      <c r="C71"/>
      <c r="D71"/>
      <c r="E71"/>
      <c r="F71"/>
      <c r="G71"/>
      <c r="H71"/>
      <c r="I71"/>
      <c r="J71"/>
      <c r="K71"/>
      <c r="L71"/>
      <c r="M71"/>
      <c r="N71"/>
      <c r="O71"/>
      <c r="P71"/>
      <c r="Q71"/>
      <c r="R71"/>
      <c r="S71"/>
      <c r="T71"/>
      <c r="U71"/>
      <c r="V71"/>
      <c r="W71"/>
    </row>
    <row r="72" spans="1:96" ht="15.6">
      <c r="A72"/>
      <c r="B72"/>
      <c r="C72"/>
      <c r="D72"/>
      <c r="E72"/>
      <c r="F72"/>
      <c r="G72"/>
      <c r="H72"/>
      <c r="I72"/>
      <c r="J72"/>
      <c r="K72"/>
      <c r="L72"/>
      <c r="M72"/>
      <c r="N72"/>
      <c r="O72"/>
      <c r="P72"/>
      <c r="Q72"/>
      <c r="R72"/>
      <c r="S72"/>
      <c r="T72"/>
      <c r="U72"/>
      <c r="V72"/>
      <c r="W72"/>
    </row>
    <row r="73" spans="1:96" ht="15.6">
      <c r="A73"/>
      <c r="B73"/>
      <c r="C73"/>
      <c r="D73"/>
      <c r="E73"/>
      <c r="F73"/>
      <c r="G73"/>
      <c r="H73"/>
      <c r="I73"/>
      <c r="J73"/>
      <c r="K73"/>
      <c r="L73"/>
      <c r="M73"/>
      <c r="N73"/>
      <c r="O73"/>
      <c r="P73"/>
      <c r="Q73"/>
      <c r="R73"/>
      <c r="S73"/>
      <c r="T73"/>
      <c r="U73"/>
      <c r="V73"/>
      <c r="W73"/>
    </row>
    <row r="74" spans="1:96" ht="15.6">
      <c r="A74"/>
      <c r="B74"/>
      <c r="C74"/>
      <c r="D74"/>
      <c r="E74"/>
      <c r="F74"/>
      <c r="G74"/>
      <c r="H74"/>
      <c r="I74"/>
      <c r="J74"/>
      <c r="K74"/>
      <c r="L74"/>
      <c r="M74"/>
      <c r="N74"/>
      <c r="O74"/>
      <c r="P74"/>
      <c r="Q74"/>
      <c r="R74"/>
      <c r="S74"/>
      <c r="T74"/>
      <c r="U74"/>
      <c r="V74"/>
      <c r="W74"/>
    </row>
    <row r="75" spans="1:96" ht="15.6">
      <c r="A75"/>
      <c r="B75"/>
      <c r="C75"/>
      <c r="D75"/>
      <c r="E75"/>
      <c r="F75"/>
      <c r="G75"/>
      <c r="H75"/>
      <c r="I75"/>
      <c r="J75"/>
      <c r="K75"/>
      <c r="L75"/>
      <c r="M75"/>
      <c r="N75"/>
      <c r="O75"/>
      <c r="P75"/>
      <c r="Q75"/>
      <c r="R75"/>
      <c r="S75"/>
      <c r="T75"/>
      <c r="U75"/>
      <c r="V75"/>
      <c r="W75"/>
    </row>
    <row r="76" spans="1:96" ht="15.6">
      <c r="A76"/>
      <c r="B76"/>
      <c r="C76"/>
      <c r="D76"/>
      <c r="E76"/>
      <c r="F76"/>
      <c r="G76"/>
      <c r="H76"/>
      <c r="I76"/>
      <c r="J76"/>
      <c r="K76"/>
      <c r="L76"/>
      <c r="M76"/>
      <c r="N76"/>
      <c r="O76"/>
      <c r="P76"/>
      <c r="Q76"/>
      <c r="R76"/>
      <c r="S76"/>
      <c r="T76"/>
      <c r="U76"/>
      <c r="V76"/>
      <c r="W76"/>
    </row>
    <row r="77" spans="1:96" ht="15.6">
      <c r="A77"/>
      <c r="B77"/>
      <c r="C77"/>
      <c r="D77"/>
      <c r="E77"/>
      <c r="F77"/>
      <c r="G77"/>
      <c r="H77"/>
      <c r="I77"/>
      <c r="J77"/>
      <c r="K77"/>
      <c r="L77"/>
      <c r="M77"/>
      <c r="N77"/>
      <c r="O77"/>
      <c r="P77"/>
      <c r="Q77"/>
      <c r="R77"/>
      <c r="S77"/>
      <c r="T77"/>
      <c r="U77"/>
      <c r="V77"/>
      <c r="W77"/>
    </row>
    <row r="78" spans="1:96" ht="15.6">
      <c r="A78"/>
      <c r="B78"/>
      <c r="C78"/>
      <c r="D78"/>
      <c r="E78"/>
      <c r="F78"/>
      <c r="G78"/>
      <c r="H78"/>
      <c r="I78"/>
      <c r="J78"/>
      <c r="K78"/>
      <c r="L78"/>
      <c r="M78"/>
      <c r="N78"/>
      <c r="O78"/>
      <c r="P78"/>
      <c r="Q78"/>
      <c r="R78"/>
      <c r="S78"/>
      <c r="T78"/>
      <c r="U78"/>
      <c r="V78"/>
      <c r="W78"/>
    </row>
    <row r="79" spans="1:96" ht="15.6">
      <c r="A79"/>
      <c r="B79"/>
      <c r="C79"/>
      <c r="D79"/>
      <c r="E79"/>
      <c r="F79"/>
      <c r="G79"/>
      <c r="H79"/>
      <c r="I79"/>
      <c r="J79"/>
      <c r="K79"/>
      <c r="L79"/>
      <c r="M79"/>
      <c r="N79"/>
      <c r="O79"/>
      <c r="P79"/>
      <c r="Q79"/>
      <c r="R79"/>
      <c r="S79"/>
      <c r="T79"/>
      <c r="U79"/>
      <c r="V79"/>
      <c r="W79"/>
    </row>
    <row r="80" spans="1:96" ht="15.6">
      <c r="A80"/>
      <c r="B80"/>
      <c r="C80"/>
      <c r="D80"/>
      <c r="E80"/>
      <c r="F80"/>
      <c r="G80"/>
      <c r="H80"/>
      <c r="I80"/>
      <c r="J80"/>
      <c r="K80"/>
      <c r="L80"/>
      <c r="M80"/>
      <c r="N80"/>
      <c r="O80"/>
      <c r="P80"/>
      <c r="Q80"/>
      <c r="R80"/>
      <c r="S80"/>
      <c r="T80"/>
      <c r="U80"/>
      <c r="V80"/>
      <c r="W80"/>
    </row>
    <row r="81" spans="1:23" ht="15.6">
      <c r="A81"/>
      <c r="B81"/>
      <c r="C81"/>
      <c r="D81"/>
      <c r="E81"/>
      <c r="F81"/>
      <c r="G81"/>
      <c r="H81"/>
      <c r="I81"/>
      <c r="J81"/>
      <c r="K81"/>
      <c r="L81"/>
      <c r="M81"/>
      <c r="N81"/>
      <c r="O81"/>
      <c r="P81"/>
      <c r="Q81"/>
      <c r="R81"/>
      <c r="S81"/>
      <c r="T81"/>
      <c r="U81"/>
      <c r="V81"/>
      <c r="W81"/>
    </row>
    <row r="82" spans="1:23" ht="15.6">
      <c r="A82"/>
      <c r="B82"/>
      <c r="C82"/>
      <c r="D82"/>
      <c r="E82"/>
      <c r="F82"/>
      <c r="G82"/>
      <c r="H82"/>
      <c r="I82"/>
      <c r="J82"/>
      <c r="K82"/>
      <c r="L82"/>
      <c r="M82"/>
      <c r="N82"/>
      <c r="O82"/>
      <c r="P82"/>
      <c r="Q82"/>
      <c r="R82"/>
      <c r="S82"/>
      <c r="T82"/>
      <c r="U82"/>
      <c r="V82"/>
      <c r="W82"/>
    </row>
    <row r="83" spans="1:23" ht="15.6">
      <c r="A83"/>
      <c r="B83"/>
      <c r="C83"/>
      <c r="D83"/>
      <c r="E83"/>
      <c r="F83"/>
      <c r="G83"/>
      <c r="H83"/>
      <c r="I83"/>
      <c r="J83"/>
      <c r="K83"/>
      <c r="L83"/>
      <c r="M83"/>
      <c r="N83"/>
      <c r="O83"/>
      <c r="P83"/>
      <c r="Q83"/>
      <c r="R83"/>
      <c r="S83"/>
      <c r="T83"/>
      <c r="U83"/>
      <c r="V83"/>
      <c r="W83"/>
    </row>
    <row r="84" spans="1:23" ht="15.6">
      <c r="A84"/>
      <c r="B84"/>
      <c r="C84"/>
      <c r="D84"/>
      <c r="E84"/>
      <c r="F84"/>
      <c r="G84"/>
      <c r="H84"/>
      <c r="I84"/>
      <c r="J84"/>
      <c r="K84"/>
      <c r="L84"/>
      <c r="M84"/>
      <c r="N84"/>
      <c r="O84"/>
      <c r="P84"/>
      <c r="Q84"/>
      <c r="R84"/>
      <c r="S84"/>
      <c r="T84"/>
      <c r="U84"/>
      <c r="V84"/>
      <c r="W84"/>
    </row>
    <row r="85" spans="1:23" ht="15.6">
      <c r="A85"/>
      <c r="B85"/>
      <c r="C85"/>
      <c r="D85"/>
      <c r="E85"/>
      <c r="F85"/>
      <c r="G85"/>
      <c r="H85"/>
      <c r="I85"/>
      <c r="J85"/>
      <c r="K85"/>
      <c r="L85"/>
      <c r="M85"/>
      <c r="N85"/>
      <c r="O85"/>
      <c r="P85"/>
      <c r="Q85"/>
      <c r="R85"/>
      <c r="S85"/>
      <c r="T85"/>
      <c r="U85"/>
      <c r="V85"/>
      <c r="W85"/>
    </row>
    <row r="86" spans="1:23" ht="15.6">
      <c r="A86"/>
      <c r="B86"/>
      <c r="C86"/>
      <c r="D86"/>
      <c r="E86"/>
      <c r="F86"/>
      <c r="G86"/>
      <c r="H86"/>
      <c r="I86"/>
      <c r="J86"/>
      <c r="K86"/>
      <c r="L86"/>
      <c r="M86"/>
      <c r="N86"/>
      <c r="O86"/>
      <c r="P86"/>
      <c r="Q86"/>
      <c r="R86"/>
      <c r="S86"/>
      <c r="T86"/>
      <c r="U86"/>
      <c r="V86"/>
      <c r="W86"/>
    </row>
    <row r="87" spans="1:23" ht="15.6">
      <c r="A87"/>
      <c r="B87"/>
      <c r="C87"/>
      <c r="D87"/>
      <c r="E87"/>
      <c r="F87"/>
      <c r="G87"/>
      <c r="H87"/>
      <c r="I87"/>
      <c r="J87"/>
      <c r="K87"/>
      <c r="L87"/>
      <c r="M87"/>
      <c r="N87"/>
      <c r="O87"/>
      <c r="P87"/>
      <c r="Q87"/>
      <c r="R87"/>
      <c r="S87"/>
      <c r="T87"/>
      <c r="U87"/>
      <c r="V87"/>
      <c r="W87"/>
    </row>
    <row r="88" spans="1:23" ht="15.6">
      <c r="A88"/>
      <c r="B88"/>
      <c r="C88"/>
      <c r="D88"/>
      <c r="E88"/>
      <c r="F88"/>
      <c r="G88"/>
      <c r="H88"/>
      <c r="I88"/>
      <c r="J88"/>
      <c r="K88"/>
      <c r="L88"/>
      <c r="M88"/>
      <c r="N88"/>
      <c r="O88"/>
      <c r="P88"/>
      <c r="Q88"/>
      <c r="R88"/>
      <c r="S88"/>
      <c r="T88"/>
      <c r="U88"/>
      <c r="V88"/>
      <c r="W88"/>
    </row>
    <row r="89" spans="1:23" ht="15.6">
      <c r="A89"/>
      <c r="B89"/>
      <c r="C89"/>
      <c r="D89"/>
      <c r="E89"/>
      <c r="F89"/>
      <c r="G89"/>
      <c r="H89"/>
      <c r="I89"/>
      <c r="J89"/>
      <c r="K89"/>
      <c r="L89"/>
      <c r="M89"/>
      <c r="N89"/>
      <c r="O89"/>
      <c r="P89"/>
      <c r="Q89"/>
      <c r="R89"/>
      <c r="S89"/>
      <c r="T89"/>
      <c r="U89"/>
      <c r="V89"/>
      <c r="W89"/>
    </row>
    <row r="90" spans="1:23" ht="15.6">
      <c r="A90"/>
      <c r="B90"/>
      <c r="C90"/>
      <c r="D90"/>
      <c r="E90"/>
      <c r="F90"/>
      <c r="G90"/>
      <c r="H90"/>
      <c r="I90"/>
      <c r="J90"/>
      <c r="K90"/>
      <c r="L90"/>
      <c r="M90"/>
      <c r="N90"/>
      <c r="O90"/>
      <c r="P90"/>
      <c r="Q90"/>
      <c r="R90"/>
      <c r="S90"/>
      <c r="T90"/>
      <c r="U90"/>
      <c r="V90"/>
      <c r="W90"/>
    </row>
    <row r="91" spans="1:23" ht="15.6">
      <c r="A91"/>
      <c r="B91"/>
      <c r="C91"/>
      <c r="D91"/>
      <c r="E91"/>
      <c r="F91"/>
      <c r="G91"/>
      <c r="H91"/>
      <c r="I91"/>
      <c r="J91"/>
      <c r="K91"/>
      <c r="L91"/>
      <c r="M91"/>
      <c r="N91"/>
      <c r="O91"/>
      <c r="P91"/>
      <c r="Q91"/>
      <c r="R91"/>
      <c r="S91"/>
      <c r="T91"/>
      <c r="U91"/>
      <c r="V91"/>
      <c r="W91"/>
    </row>
    <row r="92" spans="1:23" ht="15.6">
      <c r="A92"/>
      <c r="B92"/>
      <c r="C92"/>
      <c r="D92"/>
      <c r="E92"/>
      <c r="F92"/>
      <c r="G92"/>
      <c r="H92"/>
      <c r="I92"/>
      <c r="J92"/>
      <c r="K92"/>
      <c r="L92"/>
      <c r="M92"/>
      <c r="N92"/>
      <c r="O92"/>
      <c r="P92"/>
      <c r="Q92"/>
      <c r="R92"/>
      <c r="S92"/>
      <c r="T92"/>
      <c r="U92"/>
      <c r="V92"/>
      <c r="W92"/>
    </row>
    <row r="93" spans="1:23" ht="15.6">
      <c r="A93"/>
      <c r="B93"/>
      <c r="C93"/>
      <c r="D93"/>
      <c r="E93"/>
      <c r="F93"/>
      <c r="G93"/>
      <c r="H93"/>
      <c r="I93"/>
      <c r="J93"/>
      <c r="K93"/>
      <c r="L93"/>
      <c r="M93"/>
      <c r="N93"/>
      <c r="O93"/>
      <c r="P93"/>
      <c r="Q93"/>
      <c r="R93"/>
      <c r="S93"/>
      <c r="T93"/>
      <c r="U93"/>
      <c r="V93"/>
      <c r="W93"/>
    </row>
    <row r="94" spans="1:23" ht="15.6">
      <c r="A94"/>
      <c r="B94"/>
      <c r="C94"/>
      <c r="D94"/>
      <c r="E94"/>
      <c r="F94"/>
      <c r="G94"/>
      <c r="H94"/>
      <c r="I94"/>
      <c r="J94"/>
      <c r="K94"/>
      <c r="L94"/>
      <c r="M94"/>
      <c r="N94"/>
      <c r="O94"/>
      <c r="P94"/>
      <c r="Q94"/>
      <c r="R94"/>
      <c r="S94"/>
      <c r="T94"/>
      <c r="U94"/>
      <c r="V94"/>
      <c r="W94"/>
    </row>
  </sheetData>
  <mergeCells count="61">
    <mergeCell ref="C42:D42"/>
    <mergeCell ref="E42:F42"/>
    <mergeCell ref="G42:H42"/>
    <mergeCell ref="I42:J42"/>
    <mergeCell ref="S42:T42"/>
    <mergeCell ref="K42:L42"/>
    <mergeCell ref="M42:N42"/>
    <mergeCell ref="O42:P42"/>
    <mergeCell ref="Q42:R42"/>
    <mergeCell ref="M40:N40"/>
    <mergeCell ref="O40:P40"/>
    <mergeCell ref="Q40:R40"/>
    <mergeCell ref="S40:T40"/>
    <mergeCell ref="C41:D41"/>
    <mergeCell ref="E41:F41"/>
    <mergeCell ref="G41:H41"/>
    <mergeCell ref="I41:J41"/>
    <mergeCell ref="K41:L41"/>
    <mergeCell ref="M41:N41"/>
    <mergeCell ref="O41:P41"/>
    <mergeCell ref="Q41:R41"/>
    <mergeCell ref="S41:T41"/>
    <mergeCell ref="C40:D40"/>
    <mergeCell ref="E40:F40"/>
    <mergeCell ref="G40:H40"/>
    <mergeCell ref="I40:J40"/>
    <mergeCell ref="K40:L40"/>
    <mergeCell ref="M11:N11"/>
    <mergeCell ref="O11:P11"/>
    <mergeCell ref="Q11:R11"/>
    <mergeCell ref="S11:T11"/>
    <mergeCell ref="C12:D12"/>
    <mergeCell ref="E12:F12"/>
    <mergeCell ref="G12:H12"/>
    <mergeCell ref="I12:J12"/>
    <mergeCell ref="K12:L12"/>
    <mergeCell ref="M12:N12"/>
    <mergeCell ref="O12:P12"/>
    <mergeCell ref="Q12:R12"/>
    <mergeCell ref="S12:T12"/>
    <mergeCell ref="C11:D11"/>
    <mergeCell ref="E11:F11"/>
    <mergeCell ref="G11:H11"/>
    <mergeCell ref="I11:J11"/>
    <mergeCell ref="K11:L1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s>
  <phoneticPr fontId="54" type="noConversion"/>
  <pageMargins left="0.47" right="0.35" top="0.48" bottom="0.38" header="0" footer="0.25"/>
  <pageSetup scale="94" fitToHeight="2" orientation="landscape" horizontalDpi="4294967292" verticalDpi="300" r:id="rId1"/>
  <headerFooter alignWithMargins="0">
    <oddFooter>Page &amp;P of &amp;N</oddFooter>
  </headerFooter>
  <rowBreaks count="1" manualBreakCount="1">
    <brk id="35"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dimension ref="A1:CR94"/>
  <sheetViews>
    <sheetView showGridLines="0" showZeros="0" defaultGridColor="0" colorId="8" zoomScaleNormal="110" zoomScaleSheetLayoutView="50" workbookViewId="0"/>
  </sheetViews>
  <sheetFormatPr defaultColWidth="0" defaultRowHeight="10.15"/>
  <cols>
    <col min="1" max="1" width="40.625" style="12" customWidth="1"/>
    <col min="2" max="2" width="3" style="11" customWidth="1"/>
    <col min="3" max="3" width="4.125" style="12" customWidth="1"/>
    <col min="4" max="4" width="4.5" style="12" customWidth="1"/>
    <col min="5" max="5" width="4.125" style="12" customWidth="1"/>
    <col min="6" max="6" width="4.5" style="12" customWidth="1"/>
    <col min="7" max="7" width="4.125" style="12" customWidth="1"/>
    <col min="8" max="8" width="4.5" style="12" customWidth="1"/>
    <col min="9" max="9" width="4.125" style="12" customWidth="1"/>
    <col min="10" max="10" width="4.5" style="12" customWidth="1"/>
    <col min="11" max="11" width="4.125" style="12" customWidth="1"/>
    <col min="12" max="12" width="4.5" style="12" customWidth="1"/>
    <col min="13" max="14" width="5.125" style="12" customWidth="1"/>
    <col min="15" max="15" width="4.125" style="12" customWidth="1"/>
    <col min="16" max="20" width="4.5" style="12" customWidth="1"/>
    <col min="21" max="23" width="5.625" style="13" customWidth="1"/>
    <col min="24" max="24" width="2.875" style="12" customWidth="1"/>
    <col min="25" max="53" width="6.625" style="12" hidden="1" customWidth="1"/>
    <col min="54" max="16384" width="0" style="12" hidden="1"/>
  </cols>
  <sheetData>
    <row r="1" spans="1:96" s="3" customFormat="1" ht="27.6">
      <c r="A1" s="814" t="str">
        <f>Cover!A3</f>
        <v>FALL ENROLLMENT 2021</v>
      </c>
      <c r="B1" s="33"/>
      <c r="C1" s="33"/>
      <c r="D1" s="33"/>
      <c r="E1" s="33"/>
      <c r="F1" s="33"/>
      <c r="G1" s="33"/>
      <c r="H1" s="33"/>
      <c r="I1" s="33"/>
      <c r="J1" s="33"/>
      <c r="K1" s="33"/>
      <c r="L1" s="33"/>
      <c r="M1" s="33"/>
      <c r="N1" s="33"/>
      <c r="O1" s="33"/>
      <c r="P1" s="33"/>
      <c r="Q1" s="33"/>
      <c r="R1" s="33"/>
      <c r="S1" s="33"/>
      <c r="T1" s="33"/>
      <c r="U1" s="33"/>
      <c r="V1" s="33"/>
      <c r="W1" s="33"/>
      <c r="X1" s="790">
        <f>IF(COUNT(C18:P25,C28:P29,C32:P34,C48:P55,C58:P59,C62:P64)&gt;0,1,0)</f>
        <v>0</v>
      </c>
    </row>
    <row r="2" spans="1:96" s="4" customFormat="1">
      <c r="A2" s="249" t="str">
        <f>Cover!A62</f>
        <v>2122</v>
      </c>
      <c r="B2" s="56"/>
      <c r="C2" s="56"/>
      <c r="D2" s="56"/>
      <c r="E2" s="56"/>
      <c r="F2" s="56"/>
      <c r="G2" s="56"/>
      <c r="H2" s="56"/>
      <c r="I2" s="56"/>
      <c r="J2" s="56"/>
    </row>
    <row r="3" spans="1:96" s="3" customFormat="1" ht="13.9" thickBot="1">
      <c r="A3" s="802" t="str">
        <f>Cover!$A$8</f>
        <v>Western Connecticut State University</v>
      </c>
      <c r="B3" s="57"/>
      <c r="C3" s="58"/>
      <c r="D3" s="57"/>
      <c r="E3" s="57"/>
      <c r="F3" s="57"/>
      <c r="G3" s="57"/>
      <c r="H3" s="57"/>
      <c r="I3" s="57"/>
      <c r="J3" s="57"/>
      <c r="K3" s="5" t="s">
        <v>48</v>
      </c>
      <c r="M3" s="2"/>
      <c r="N3" s="6" t="str">
        <f>+Cover!$A$10</f>
        <v>Jerry Wilcox</v>
      </c>
      <c r="O3" s="7"/>
      <c r="P3" s="8"/>
      <c r="Q3" s="8"/>
      <c r="R3" s="8"/>
      <c r="S3" s="8"/>
      <c r="T3" s="8"/>
      <c r="U3" s="7"/>
      <c r="X3" s="789"/>
    </row>
    <row r="4" spans="1:96" s="3" customFormat="1" ht="13.9" thickBot="1">
      <c r="A4" s="31">
        <f>Cover!$B$8</f>
        <v>130776</v>
      </c>
      <c r="B4" s="57"/>
      <c r="C4" s="58"/>
      <c r="D4" s="57"/>
      <c r="E4" s="56"/>
      <c r="F4" s="57"/>
      <c r="G4" s="56"/>
      <c r="H4" s="57"/>
      <c r="I4" s="56"/>
      <c r="J4" s="57"/>
      <c r="K4" s="5" t="s">
        <v>49</v>
      </c>
      <c r="M4" s="9"/>
      <c r="N4" s="6" t="str">
        <f>+Cover!$B$10</f>
        <v>Director, Institutional Research and Assessment</v>
      </c>
      <c r="O4" s="7"/>
      <c r="P4" s="8"/>
      <c r="Q4" s="8"/>
      <c r="R4" s="8"/>
      <c r="S4" s="8"/>
      <c r="T4" s="8"/>
      <c r="U4" s="7"/>
    </row>
    <row r="5" spans="1:96" s="3" customFormat="1" ht="16.149999999999999" thickBot="1">
      <c r="A5" s="32" t="str">
        <f>Cover!$C$8</f>
        <v>Danbury</v>
      </c>
      <c r="B5" s="57"/>
      <c r="C5" s="58"/>
      <c r="D5" s="57"/>
      <c r="E5" s="56"/>
      <c r="F5" s="57"/>
      <c r="G5" s="56"/>
      <c r="H5" s="57"/>
      <c r="I5" s="56"/>
      <c r="J5" s="57"/>
      <c r="K5" s="5" t="s">
        <v>50</v>
      </c>
      <c r="M5" s="9"/>
      <c r="N5" s="990" t="str">
        <f>+Cover!$C$10</f>
        <v>203-837-8242</v>
      </c>
      <c r="O5" s="1152"/>
      <c r="P5" s="1152"/>
      <c r="Q5" s="939"/>
      <c r="R5" s="939"/>
      <c r="S5" s="939"/>
      <c r="T5" s="939"/>
      <c r="U5" s="7"/>
    </row>
    <row r="6" spans="1:96" ht="10.5" customHeight="1">
      <c r="A6" s="10"/>
      <c r="B6" s="56"/>
      <c r="C6" s="56"/>
      <c r="D6" s="56"/>
      <c r="E6" s="56"/>
      <c r="F6" s="56"/>
      <c r="G6" s="56"/>
      <c r="H6" s="56"/>
      <c r="I6" s="56"/>
      <c r="J6" s="56"/>
      <c r="L6" s="9"/>
      <c r="N6" s="9"/>
      <c r="P6" s="9"/>
      <c r="Q6" s="9"/>
      <c r="R6" s="9"/>
      <c r="S6" s="9"/>
      <c r="T6" s="9"/>
      <c r="V6" s="14"/>
      <c r="W6" s="14"/>
    </row>
    <row r="7" spans="1:96" ht="20.45">
      <c r="A7" s="537" t="s">
        <v>51</v>
      </c>
    </row>
    <row r="8" spans="1:96">
      <c r="A8" s="10" t="s">
        <v>52</v>
      </c>
    </row>
    <row r="9" spans="1: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96" ht="11.25" customHeight="1">
      <c r="A10" s="1006" t="s">
        <v>176</v>
      </c>
      <c r="B10" s="36"/>
      <c r="C10" s="991" t="s">
        <v>54</v>
      </c>
      <c r="D10" s="992"/>
      <c r="E10" s="991" t="s">
        <v>55</v>
      </c>
      <c r="F10" s="992"/>
      <c r="G10" s="991" t="s">
        <v>56</v>
      </c>
      <c r="H10" s="992"/>
      <c r="I10" s="991"/>
      <c r="J10" s="992"/>
      <c r="K10" s="991" t="s">
        <v>57</v>
      </c>
      <c r="L10" s="992"/>
      <c r="M10" s="991"/>
      <c r="N10" s="992"/>
      <c r="O10" s="991" t="s">
        <v>58</v>
      </c>
      <c r="P10" s="992"/>
      <c r="Q10" s="991" t="s">
        <v>59</v>
      </c>
      <c r="R10" s="992"/>
      <c r="S10" s="991" t="s">
        <v>60</v>
      </c>
      <c r="T10" s="992"/>
      <c r="U10" s="59" t="s">
        <v>61</v>
      </c>
      <c r="V10" s="60"/>
      <c r="W10" s="61"/>
    </row>
    <row r="11" spans="1:96" ht="12" customHeight="1">
      <c r="A11" s="1007"/>
      <c r="B11" s="20"/>
      <c r="C11" s="993" t="s">
        <v>62</v>
      </c>
      <c r="D11" s="994"/>
      <c r="E11" s="993" t="s">
        <v>63</v>
      </c>
      <c r="F11" s="994"/>
      <c r="G11" s="993" t="s">
        <v>64</v>
      </c>
      <c r="H11" s="994"/>
      <c r="I11" s="993" t="s">
        <v>65</v>
      </c>
      <c r="J11" s="994"/>
      <c r="K11" s="993" t="s">
        <v>66</v>
      </c>
      <c r="L11" s="994"/>
      <c r="M11" s="993" t="s">
        <v>67</v>
      </c>
      <c r="N11" s="994"/>
      <c r="O11" s="993" t="s">
        <v>68</v>
      </c>
      <c r="P11" s="994"/>
      <c r="Q11" s="993" t="s">
        <v>69</v>
      </c>
      <c r="R11" s="994"/>
      <c r="S11" s="993" t="s">
        <v>70</v>
      </c>
      <c r="T11" s="994"/>
      <c r="U11" s="62" t="s">
        <v>71</v>
      </c>
      <c r="V11" s="63"/>
      <c r="W11" s="64"/>
    </row>
    <row r="12" spans="1:96" s="17" customFormat="1" ht="12" customHeight="1">
      <c r="A12" s="1008">
        <v>510401</v>
      </c>
      <c r="B12" s="20"/>
      <c r="C12" s="995" t="s">
        <v>73</v>
      </c>
      <c r="D12" s="996"/>
      <c r="E12" s="995" t="s">
        <v>56</v>
      </c>
      <c r="F12" s="996"/>
      <c r="G12" s="995" t="s">
        <v>74</v>
      </c>
      <c r="H12" s="996"/>
      <c r="I12" s="995"/>
      <c r="J12" s="996"/>
      <c r="K12" s="995" t="s">
        <v>75</v>
      </c>
      <c r="L12" s="996"/>
      <c r="M12" s="995"/>
      <c r="N12" s="996"/>
      <c r="O12" s="995" t="s">
        <v>76</v>
      </c>
      <c r="P12" s="996"/>
      <c r="Q12" s="995" t="s">
        <v>77</v>
      </c>
      <c r="R12" s="996"/>
      <c r="S12" s="995" t="s">
        <v>78</v>
      </c>
      <c r="T12" s="996"/>
      <c r="U12" s="65" t="s">
        <v>79</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7.25" customHeight="1">
      <c r="A13" s="1155"/>
      <c r="B13" s="20" t="s">
        <v>80</v>
      </c>
      <c r="C13" s="68" t="s">
        <v>81</v>
      </c>
      <c r="D13" s="23" t="s">
        <v>82</v>
      </c>
      <c r="E13" s="68" t="s">
        <v>81</v>
      </c>
      <c r="F13" s="23" t="s">
        <v>82</v>
      </c>
      <c r="G13" s="68" t="s">
        <v>81</v>
      </c>
      <c r="H13" s="23" t="s">
        <v>82</v>
      </c>
      <c r="I13" s="68" t="s">
        <v>81</v>
      </c>
      <c r="J13" s="23" t="s">
        <v>82</v>
      </c>
      <c r="K13" s="68" t="s">
        <v>81</v>
      </c>
      <c r="L13" s="23" t="s">
        <v>82</v>
      </c>
      <c r="M13" s="68" t="s">
        <v>81</v>
      </c>
      <c r="N13" s="23" t="s">
        <v>82</v>
      </c>
      <c r="O13" s="68" t="s">
        <v>81</v>
      </c>
      <c r="P13" s="23" t="s">
        <v>82</v>
      </c>
      <c r="Q13" s="68" t="s">
        <v>81</v>
      </c>
      <c r="R13" s="23" t="s">
        <v>82</v>
      </c>
      <c r="S13" s="68" t="s">
        <v>81</v>
      </c>
      <c r="T13" s="23" t="s">
        <v>82</v>
      </c>
      <c r="U13" s="69" t="s">
        <v>81</v>
      </c>
      <c r="V13" s="21" t="s">
        <v>82</v>
      </c>
      <c r="W13" s="21" t="s">
        <v>83</v>
      </c>
    </row>
    <row r="14" spans="1:96" s="17" customFormat="1" ht="14.25" customHeight="1">
      <c r="A14" s="601" t="s">
        <v>84</v>
      </c>
      <c r="B14" s="20" t="s">
        <v>85</v>
      </c>
      <c r="C14" s="70" t="s">
        <v>86</v>
      </c>
      <c r="D14" s="70" t="s">
        <v>87</v>
      </c>
      <c r="E14" s="70" t="s">
        <v>88</v>
      </c>
      <c r="F14" s="70" t="s">
        <v>89</v>
      </c>
      <c r="G14" s="70" t="s">
        <v>90</v>
      </c>
      <c r="H14" s="70" t="s">
        <v>91</v>
      </c>
      <c r="I14" s="70" t="s">
        <v>92</v>
      </c>
      <c r="J14" s="70" t="s">
        <v>93</v>
      </c>
      <c r="K14" s="70" t="s">
        <v>94</v>
      </c>
      <c r="L14" s="70" t="s">
        <v>95</v>
      </c>
      <c r="M14" s="70" t="s">
        <v>96</v>
      </c>
      <c r="N14" s="70" t="s">
        <v>97</v>
      </c>
      <c r="O14" s="70" t="s">
        <v>98</v>
      </c>
      <c r="P14" s="70" t="s">
        <v>99</v>
      </c>
      <c r="Q14" s="70" t="s">
        <v>100</v>
      </c>
      <c r="R14" s="70" t="s">
        <v>101</v>
      </c>
      <c r="S14" s="70" t="s">
        <v>102</v>
      </c>
      <c r="T14" s="70" t="s">
        <v>103</v>
      </c>
      <c r="U14" s="71" t="s">
        <v>104</v>
      </c>
      <c r="V14" s="71" t="s">
        <v>105</v>
      </c>
      <c r="W14" s="71" t="s">
        <v>106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987" t="s">
        <v>107</v>
      </c>
      <c r="B15" s="988"/>
      <c r="C15" s="988"/>
      <c r="D15" s="988"/>
      <c r="E15" s="988"/>
      <c r="F15" s="988"/>
      <c r="G15" s="988"/>
      <c r="H15" s="988"/>
      <c r="I15" s="988"/>
      <c r="J15" s="988"/>
      <c r="K15" s="988"/>
      <c r="L15" s="988"/>
      <c r="M15" s="988"/>
      <c r="N15" s="988"/>
      <c r="O15" s="988"/>
      <c r="P15" s="988"/>
      <c r="Q15" s="988"/>
      <c r="R15" s="988"/>
      <c r="S15" s="988"/>
      <c r="T15" s="988"/>
      <c r="U15" s="988"/>
      <c r="V15" s="988"/>
      <c r="W15" s="98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96" ht="17.45">
      <c r="A16" s="548" t="s">
        <v>108</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96" ht="13.15">
      <c r="A17" s="37" t="s">
        <v>109</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4.1" customHeight="1">
      <c r="A18" s="823" t="s">
        <v>110</v>
      </c>
      <c r="B18" s="34" t="s">
        <v>111</v>
      </c>
      <c r="C18" s="714"/>
      <c r="D18" s="714"/>
      <c r="E18" s="714"/>
      <c r="F18" s="714"/>
      <c r="G18" s="714"/>
      <c r="H18" s="714"/>
      <c r="I18" s="714"/>
      <c r="J18" s="714"/>
      <c r="K18" s="714"/>
      <c r="L18" s="714"/>
      <c r="M18" s="714"/>
      <c r="N18" s="714"/>
      <c r="O18" s="714"/>
      <c r="P18" s="714"/>
      <c r="Q18" s="714"/>
      <c r="R18" s="715"/>
      <c r="S18" s="714"/>
      <c r="T18" s="715"/>
      <c r="U18" s="47">
        <f>C18+E18+G18+I18+K18+M18+O18+Q18+S18</f>
        <v>0</v>
      </c>
      <c r="V18" s="47">
        <f>D18+F18+H18+J18+L18+N18+P18+R18+T18</f>
        <v>0</v>
      </c>
      <c r="W18" s="44">
        <f>+V18+U18</f>
        <v>0</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4.1" customHeight="1">
      <c r="A19" s="824" t="s">
        <v>112</v>
      </c>
      <c r="B19" s="820" t="s">
        <v>113</v>
      </c>
      <c r="C19" s="830"/>
      <c r="D19" s="830"/>
      <c r="E19" s="830"/>
      <c r="F19" s="830"/>
      <c r="G19" s="830"/>
      <c r="H19" s="830"/>
      <c r="I19" s="830"/>
      <c r="J19" s="830"/>
      <c r="K19" s="830"/>
      <c r="L19" s="830"/>
      <c r="M19" s="830"/>
      <c r="N19" s="830"/>
      <c r="O19" s="830"/>
      <c r="P19" s="830"/>
      <c r="Q19" s="830"/>
      <c r="R19" s="830"/>
      <c r="S19" s="830"/>
      <c r="T19" s="830"/>
      <c r="U19" s="47">
        <f>C19+E19+G19+I19+K19+M19+O19+Q19+S19</f>
        <v>0</v>
      </c>
      <c r="V19" s="47">
        <f>D19+F19+H19+J19+L19+N19+P19+R19+T19</f>
        <v>0</v>
      </c>
      <c r="W19" s="618">
        <f>+V19+U19</f>
        <v>0</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4.1" customHeight="1">
      <c r="A20" s="829" t="s">
        <v>114</v>
      </c>
      <c r="B20" s="822"/>
      <c r="C20" s="831"/>
      <c r="D20" s="831"/>
      <c r="E20" s="831"/>
      <c r="F20" s="831"/>
      <c r="G20" s="831"/>
      <c r="H20" s="831"/>
      <c r="I20" s="831"/>
      <c r="J20" s="831"/>
      <c r="K20" s="831"/>
      <c r="L20" s="831"/>
      <c r="M20" s="831"/>
      <c r="N20" s="831"/>
      <c r="O20" s="831"/>
      <c r="P20" s="831"/>
      <c r="Q20" s="831"/>
      <c r="R20" s="831"/>
      <c r="S20" s="831"/>
      <c r="T20" s="831"/>
      <c r="U20" s="821"/>
      <c r="V20" s="821"/>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4.1" customHeight="1">
      <c r="A21" s="825" t="s">
        <v>115</v>
      </c>
      <c r="B21" s="22" t="s">
        <v>116</v>
      </c>
      <c r="C21" s="715"/>
      <c r="D21" s="715"/>
      <c r="E21" s="715"/>
      <c r="F21" s="715"/>
      <c r="G21" s="715"/>
      <c r="H21" s="715"/>
      <c r="I21" s="715"/>
      <c r="J21" s="715"/>
      <c r="K21" s="715"/>
      <c r="L21" s="715"/>
      <c r="M21" s="715"/>
      <c r="N21" s="715"/>
      <c r="O21" s="715"/>
      <c r="P21" s="715"/>
      <c r="Q21" s="715"/>
      <c r="R21" s="715"/>
      <c r="S21" s="715"/>
      <c r="T21" s="715"/>
      <c r="U21" s="47">
        <f t="shared" ref="U21:V26" si="0">C21+E21+G21+I21+K21+M21+O21+Q21+S21</f>
        <v>0</v>
      </c>
      <c r="V21" s="47">
        <f t="shared" si="0"/>
        <v>0</v>
      </c>
      <c r="W21" s="49">
        <f t="shared" ref="W21:W26" si="1">+V21+U21</f>
        <v>0</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4.1" customHeight="1">
      <c r="A22" s="825" t="s">
        <v>117</v>
      </c>
      <c r="B22" s="22" t="s">
        <v>118</v>
      </c>
      <c r="C22" s="715"/>
      <c r="D22" s="715"/>
      <c r="E22" s="715"/>
      <c r="F22" s="715"/>
      <c r="G22" s="715"/>
      <c r="H22" s="715"/>
      <c r="I22" s="715"/>
      <c r="J22" s="715"/>
      <c r="K22" s="715"/>
      <c r="L22" s="715"/>
      <c r="M22" s="715"/>
      <c r="N22" s="715"/>
      <c r="O22" s="715"/>
      <c r="P22" s="715"/>
      <c r="Q22" s="715"/>
      <c r="R22" s="715"/>
      <c r="S22" s="715"/>
      <c r="T22" s="715"/>
      <c r="U22" s="47">
        <f t="shared" si="0"/>
        <v>0</v>
      </c>
      <c r="V22" s="47">
        <f t="shared" si="0"/>
        <v>0</v>
      </c>
      <c r="W22" s="44">
        <f t="shared" si="1"/>
        <v>0</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4.1" customHeight="1">
      <c r="A23" s="825" t="s">
        <v>119</v>
      </c>
      <c r="B23" s="22" t="s">
        <v>120</v>
      </c>
      <c r="C23" s="715"/>
      <c r="D23" s="715"/>
      <c r="E23" s="715"/>
      <c r="F23" s="715"/>
      <c r="G23" s="715"/>
      <c r="H23" s="715"/>
      <c r="I23" s="715"/>
      <c r="J23" s="715"/>
      <c r="K23" s="715"/>
      <c r="L23" s="715"/>
      <c r="M23" s="715"/>
      <c r="N23" s="715"/>
      <c r="O23" s="715"/>
      <c r="P23" s="715"/>
      <c r="Q23" s="715"/>
      <c r="R23" s="715"/>
      <c r="S23" s="715"/>
      <c r="T23" s="715"/>
      <c r="U23" s="47">
        <f t="shared" si="0"/>
        <v>0</v>
      </c>
      <c r="V23" s="47">
        <f t="shared" si="0"/>
        <v>0</v>
      </c>
      <c r="W23" s="44">
        <f t="shared" si="1"/>
        <v>0</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4.1" customHeight="1">
      <c r="A24" s="825" t="s">
        <v>121</v>
      </c>
      <c r="B24" s="22" t="s">
        <v>122</v>
      </c>
      <c r="C24" s="715"/>
      <c r="D24" s="715"/>
      <c r="E24" s="715"/>
      <c r="F24" s="715"/>
      <c r="G24" s="715"/>
      <c r="H24" s="715"/>
      <c r="I24" s="715"/>
      <c r="J24" s="715"/>
      <c r="K24" s="715"/>
      <c r="L24" s="715"/>
      <c r="M24" s="715"/>
      <c r="N24" s="715"/>
      <c r="O24" s="715"/>
      <c r="P24" s="715"/>
      <c r="Q24" s="715"/>
      <c r="R24" s="715"/>
      <c r="S24" s="715"/>
      <c r="T24" s="715"/>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7" t="s">
        <v>123</v>
      </c>
      <c r="B25" s="22" t="s">
        <v>124</v>
      </c>
      <c r="C25" s="715"/>
      <c r="D25" s="715"/>
      <c r="E25" s="715"/>
      <c r="F25" s="715"/>
      <c r="G25" s="715"/>
      <c r="H25" s="715"/>
      <c r="I25" s="715"/>
      <c r="J25" s="715"/>
      <c r="K25" s="715"/>
      <c r="L25" s="715"/>
      <c r="M25" s="715"/>
      <c r="N25" s="715"/>
      <c r="O25" s="715"/>
      <c r="P25" s="715"/>
      <c r="Q25" s="715"/>
      <c r="R25" s="715"/>
      <c r="S25" s="715"/>
      <c r="T25" s="715"/>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50" t="s">
        <v>125</v>
      </c>
      <c r="B26" s="551" t="s">
        <v>126</v>
      </c>
      <c r="C26" s="552">
        <f t="shared" ref="C26:P26" si="2">SUM(C18:C25)</f>
        <v>0</v>
      </c>
      <c r="D26" s="552">
        <f t="shared" si="2"/>
        <v>0</v>
      </c>
      <c r="E26" s="552">
        <f t="shared" si="2"/>
        <v>0</v>
      </c>
      <c r="F26" s="552">
        <f t="shared" si="2"/>
        <v>0</v>
      </c>
      <c r="G26" s="552">
        <f t="shared" si="2"/>
        <v>0</v>
      </c>
      <c r="H26" s="552">
        <f t="shared" si="2"/>
        <v>0</v>
      </c>
      <c r="I26" s="552">
        <f t="shared" si="2"/>
        <v>0</v>
      </c>
      <c r="J26" s="552">
        <f t="shared" si="2"/>
        <v>0</v>
      </c>
      <c r="K26" s="552">
        <f t="shared" si="2"/>
        <v>0</v>
      </c>
      <c r="L26" s="552">
        <f t="shared" si="2"/>
        <v>0</v>
      </c>
      <c r="M26" s="552">
        <f t="shared" si="2"/>
        <v>0</v>
      </c>
      <c r="N26" s="552">
        <f t="shared" si="2"/>
        <v>0</v>
      </c>
      <c r="O26" s="552">
        <f t="shared" si="2"/>
        <v>0</v>
      </c>
      <c r="P26" s="552">
        <f t="shared" si="2"/>
        <v>0</v>
      </c>
      <c r="Q26" s="552">
        <f>SUM(Q18:Q25)</f>
        <v>0</v>
      </c>
      <c r="R26" s="552">
        <f>SUM(R18:R25)</f>
        <v>0</v>
      </c>
      <c r="S26" s="552">
        <f>SUM(S18:S25)</f>
        <v>0</v>
      </c>
      <c r="T26" s="552">
        <f>SUM(T18:T25)</f>
        <v>0</v>
      </c>
      <c r="U26" s="552">
        <f t="shared" si="0"/>
        <v>0</v>
      </c>
      <c r="V26" s="552">
        <f t="shared" si="0"/>
        <v>0</v>
      </c>
      <c r="W26" s="553">
        <f t="shared" si="1"/>
        <v>0</v>
      </c>
      <c r="X26" s="608"/>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96" ht="18" hidden="1" customHeight="1" thickTop="1">
      <c r="A27" s="548" t="s">
        <v>127</v>
      </c>
      <c r="B27" s="239"/>
      <c r="C27" s="549"/>
      <c r="D27" s="549"/>
      <c r="E27" s="549"/>
      <c r="F27" s="549"/>
      <c r="G27" s="549"/>
      <c r="H27" s="549"/>
      <c r="I27" s="549"/>
      <c r="J27" s="549"/>
      <c r="K27" s="549"/>
      <c r="L27" s="549"/>
      <c r="M27" s="549"/>
      <c r="N27" s="549"/>
      <c r="O27" s="549"/>
      <c r="P27" s="549"/>
      <c r="Q27" s="549"/>
      <c r="R27" s="549"/>
      <c r="S27" s="549"/>
      <c r="T27" s="549"/>
      <c r="U27" s="371"/>
      <c r="V27" s="371"/>
      <c r="W27" s="485"/>
      <c r="X27" s="609"/>
    </row>
    <row r="28" spans="1:96" s="17" customFormat="1" ht="13.15" hidden="1">
      <c r="A28" s="38" t="s">
        <v>128</v>
      </c>
      <c r="B28" s="34" t="s">
        <v>129</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9" hidden="1" thickBot="1">
      <c r="A29" s="604" t="s">
        <v>130</v>
      </c>
      <c r="B29" s="605" t="s">
        <v>131</v>
      </c>
      <c r="C29" s="606"/>
      <c r="D29" s="607"/>
      <c r="E29" s="606"/>
      <c r="F29" s="607"/>
      <c r="G29" s="606"/>
      <c r="H29" s="607"/>
      <c r="I29" s="606"/>
      <c r="J29" s="607"/>
      <c r="K29" s="606"/>
      <c r="L29" s="607"/>
      <c r="M29" s="606"/>
      <c r="N29" s="607"/>
      <c r="O29" s="606"/>
      <c r="P29" s="607"/>
      <c r="Q29" s="607"/>
      <c r="R29" s="607"/>
      <c r="S29" s="607"/>
      <c r="T29" s="607"/>
      <c r="U29" s="299">
        <f>C29+E29+G29+I29+K29+M29+O29</f>
        <v>0</v>
      </c>
      <c r="V29" s="299">
        <f>D29+F29+H29+J29+L29+N29+P29</f>
        <v>0</v>
      </c>
      <c r="W29" s="297">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96" ht="18" thickTop="1">
      <c r="A30" s="548" t="s">
        <v>132</v>
      </c>
      <c r="B30" s="239"/>
      <c r="C30" s="549"/>
      <c r="D30" s="549"/>
      <c r="E30" s="549"/>
      <c r="F30" s="549"/>
      <c r="G30" s="549"/>
      <c r="H30" s="549"/>
      <c r="I30" s="549"/>
      <c r="J30" s="549"/>
      <c r="K30" s="549"/>
      <c r="L30" s="549"/>
      <c r="M30" s="549"/>
      <c r="N30" s="549"/>
      <c r="O30" s="549"/>
      <c r="P30" s="549"/>
      <c r="Q30" s="549"/>
      <c r="R30" s="549"/>
      <c r="S30" s="549"/>
      <c r="T30" s="549"/>
      <c r="U30" s="371"/>
      <c r="V30" s="371"/>
      <c r="W30" s="485"/>
    </row>
    <row r="31" spans="1:96" ht="13.15">
      <c r="A31" s="37" t="s">
        <v>133</v>
      </c>
      <c r="B31" s="242" t="s">
        <v>61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3.15">
      <c r="A32" s="538" t="s">
        <v>134</v>
      </c>
      <c r="B32" s="22" t="s">
        <v>135</v>
      </c>
      <c r="C32" s="40"/>
      <c r="D32" s="41"/>
      <c r="E32" s="40"/>
      <c r="F32" s="41"/>
      <c r="G32" s="40"/>
      <c r="H32" s="41"/>
      <c r="I32" s="40"/>
      <c r="J32" s="41"/>
      <c r="K32" s="40"/>
      <c r="L32" s="41"/>
      <c r="M32" s="40"/>
      <c r="N32" s="41"/>
      <c r="O32" s="40"/>
      <c r="P32" s="41"/>
      <c r="Q32" s="40"/>
      <c r="R32" s="46"/>
      <c r="S32" s="40"/>
      <c r="T32" s="46"/>
      <c r="U32" s="47">
        <f t="shared" ref="U32:V35" si="3">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3.15">
      <c r="A33" s="538" t="s">
        <v>136</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45">
      <c r="A34" s="547" t="s">
        <v>137</v>
      </c>
      <c r="B34" s="22" t="s">
        <v>138</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6" t="s">
        <v>139</v>
      </c>
      <c r="B35" s="24" t="s">
        <v>140</v>
      </c>
      <c r="C35" s="47">
        <f>SUM(C32:C34)</f>
        <v>0</v>
      </c>
      <c r="D35" s="47">
        <f t="shared" ref="D35:P35" si="4">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spans="1:96" ht="25.5" customHeight="1"/>
    <row r="37" spans="1:96" ht="15.6">
      <c r="A37" s="483" t="str">
        <f>+A42&amp;" PART A (Continued)"</f>
        <v>510401 PART A (Continued)</v>
      </c>
      <c r="B37" s="26" t="str">
        <f>A1</f>
        <v>FALL ENROLLMENT 2021</v>
      </c>
      <c r="C37" s="27"/>
      <c r="D37" s="27"/>
      <c r="E37" s="27"/>
      <c r="F37" s="27"/>
      <c r="G37" s="27"/>
      <c r="H37" s="27"/>
      <c r="I37" s="27"/>
      <c r="J37" s="27"/>
      <c r="K37" s="27"/>
      <c r="L37" s="27"/>
      <c r="M37" s="27"/>
      <c r="N37" s="27"/>
      <c r="O37" s="27"/>
      <c r="P37" s="27"/>
      <c r="Q37" s="27"/>
      <c r="R37" s="27"/>
      <c r="S37" s="27"/>
      <c r="T37" s="27"/>
      <c r="U37" s="13" t="s">
        <v>61</v>
      </c>
    </row>
    <row r="38" spans="1:96" ht="15.6">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3.15">
      <c r="A39" s="28" t="s">
        <v>61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96">
      <c r="A40" s="1004" t="str">
        <f>+A10</f>
        <v>DENTISTRY (e.g., DDS or DMD)</v>
      </c>
      <c r="B40" s="36"/>
      <c r="C40" s="991" t="s">
        <v>54</v>
      </c>
      <c r="D40" s="992"/>
      <c r="E40" s="991" t="s">
        <v>55</v>
      </c>
      <c r="F40" s="992"/>
      <c r="G40" s="991" t="s">
        <v>56</v>
      </c>
      <c r="H40" s="992"/>
      <c r="I40" s="991"/>
      <c r="J40" s="992"/>
      <c r="K40" s="991" t="s">
        <v>57</v>
      </c>
      <c r="L40" s="992"/>
      <c r="M40" s="991"/>
      <c r="N40" s="992"/>
      <c r="O40" s="991" t="s">
        <v>58</v>
      </c>
      <c r="P40" s="992"/>
      <c r="Q40" s="991" t="s">
        <v>59</v>
      </c>
      <c r="R40" s="992"/>
      <c r="S40" s="991" t="s">
        <v>60</v>
      </c>
      <c r="T40" s="992"/>
      <c r="U40" s="59" t="s">
        <v>61</v>
      </c>
      <c r="V40" s="60"/>
      <c r="W40" s="61"/>
    </row>
    <row r="41" spans="1:96" ht="12.75" customHeight="1">
      <c r="A41" s="1005"/>
      <c r="B41" s="20"/>
      <c r="C41" s="993" t="s">
        <v>62</v>
      </c>
      <c r="D41" s="994"/>
      <c r="E41" s="993" t="s">
        <v>63</v>
      </c>
      <c r="F41" s="994"/>
      <c r="G41" s="993" t="s">
        <v>64</v>
      </c>
      <c r="H41" s="994"/>
      <c r="I41" s="993" t="s">
        <v>65</v>
      </c>
      <c r="J41" s="994"/>
      <c r="K41" s="993" t="s">
        <v>66</v>
      </c>
      <c r="L41" s="994"/>
      <c r="M41" s="993" t="s">
        <v>67</v>
      </c>
      <c r="N41" s="994"/>
      <c r="O41" s="993" t="s">
        <v>68</v>
      </c>
      <c r="P41" s="994"/>
      <c r="Q41" s="993" t="s">
        <v>69</v>
      </c>
      <c r="R41" s="994"/>
      <c r="S41" s="993" t="s">
        <v>70</v>
      </c>
      <c r="T41" s="994"/>
      <c r="U41" s="62" t="s">
        <v>71</v>
      </c>
      <c r="V41" s="63"/>
      <c r="W41" s="64"/>
    </row>
    <row r="42" spans="1:96" s="17" customFormat="1">
      <c r="A42" s="986">
        <f>+A12</f>
        <v>510401</v>
      </c>
      <c r="B42" s="20"/>
      <c r="C42" s="995" t="s">
        <v>73</v>
      </c>
      <c r="D42" s="996"/>
      <c r="E42" s="995" t="s">
        <v>56</v>
      </c>
      <c r="F42" s="996"/>
      <c r="G42" s="995" t="s">
        <v>74</v>
      </c>
      <c r="H42" s="996"/>
      <c r="I42" s="995"/>
      <c r="J42" s="996"/>
      <c r="K42" s="995" t="s">
        <v>75</v>
      </c>
      <c r="L42" s="996"/>
      <c r="M42" s="995"/>
      <c r="N42" s="996"/>
      <c r="O42" s="995" t="s">
        <v>76</v>
      </c>
      <c r="P42" s="996"/>
      <c r="Q42" s="995" t="s">
        <v>77</v>
      </c>
      <c r="R42" s="996"/>
      <c r="S42" s="995" t="s">
        <v>78</v>
      </c>
      <c r="T42" s="996"/>
      <c r="U42" s="65" t="s">
        <v>79</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96" ht="15" customHeight="1">
      <c r="A43" s="1153"/>
      <c r="B43" s="20" t="s">
        <v>80</v>
      </c>
      <c r="C43" s="68" t="s">
        <v>81</v>
      </c>
      <c r="D43" s="23" t="s">
        <v>82</v>
      </c>
      <c r="E43" s="68" t="s">
        <v>81</v>
      </c>
      <c r="F43" s="23" t="s">
        <v>82</v>
      </c>
      <c r="G43" s="68" t="s">
        <v>81</v>
      </c>
      <c r="H43" s="23" t="s">
        <v>82</v>
      </c>
      <c r="I43" s="68" t="s">
        <v>81</v>
      </c>
      <c r="J43" s="23" t="s">
        <v>82</v>
      </c>
      <c r="K43" s="68" t="s">
        <v>81</v>
      </c>
      <c r="L43" s="23" t="s">
        <v>82</v>
      </c>
      <c r="M43" s="68" t="s">
        <v>81</v>
      </c>
      <c r="N43" s="23" t="s">
        <v>82</v>
      </c>
      <c r="O43" s="68" t="s">
        <v>81</v>
      </c>
      <c r="P43" s="23" t="s">
        <v>82</v>
      </c>
      <c r="Q43" s="68" t="s">
        <v>81</v>
      </c>
      <c r="R43" s="23" t="s">
        <v>82</v>
      </c>
      <c r="S43" s="68" t="s">
        <v>81</v>
      </c>
      <c r="T43" s="23" t="s">
        <v>82</v>
      </c>
      <c r="U43" s="69" t="s">
        <v>81</v>
      </c>
      <c r="V43" s="21" t="s">
        <v>82</v>
      </c>
      <c r="W43" s="21" t="s">
        <v>83</v>
      </c>
    </row>
    <row r="44" spans="1:96" s="17" customFormat="1" ht="13.15">
      <c r="A44" s="602" t="s">
        <v>84</v>
      </c>
      <c r="B44" s="19" t="s">
        <v>85</v>
      </c>
      <c r="C44" s="70" t="s">
        <v>86</v>
      </c>
      <c r="D44" s="70" t="s">
        <v>87</v>
      </c>
      <c r="E44" s="70" t="s">
        <v>88</v>
      </c>
      <c r="F44" s="70" t="s">
        <v>89</v>
      </c>
      <c r="G44" s="70" t="s">
        <v>90</v>
      </c>
      <c r="H44" s="70" t="s">
        <v>91</v>
      </c>
      <c r="I44" s="70" t="s">
        <v>92</v>
      </c>
      <c r="J44" s="70" t="s">
        <v>93</v>
      </c>
      <c r="K44" s="70" t="s">
        <v>94</v>
      </c>
      <c r="L44" s="70" t="s">
        <v>95</v>
      </c>
      <c r="M44" s="70" t="s">
        <v>96</v>
      </c>
      <c r="N44" s="70" t="s">
        <v>97</v>
      </c>
      <c r="O44" s="70" t="s">
        <v>98</v>
      </c>
      <c r="P44" s="70" t="s">
        <v>99</v>
      </c>
      <c r="Q44" s="70" t="s">
        <v>100</v>
      </c>
      <c r="R44" s="70" t="s">
        <v>101</v>
      </c>
      <c r="S44" s="70" t="s">
        <v>102</v>
      </c>
      <c r="T44" s="70" t="s">
        <v>103</v>
      </c>
      <c r="U44" s="71" t="s">
        <v>104</v>
      </c>
      <c r="V44" s="71" t="s">
        <v>105</v>
      </c>
      <c r="W44" s="71" t="s">
        <v>106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9">
      <c r="A45" s="987" t="s">
        <v>141</v>
      </c>
      <c r="B45" s="988"/>
      <c r="C45" s="988"/>
      <c r="D45" s="988"/>
      <c r="E45" s="988"/>
      <c r="F45" s="988"/>
      <c r="G45" s="988"/>
      <c r="H45" s="988"/>
      <c r="I45" s="988"/>
      <c r="J45" s="988"/>
      <c r="K45" s="988"/>
      <c r="L45" s="988"/>
      <c r="M45" s="988"/>
      <c r="N45" s="988"/>
      <c r="O45" s="988"/>
      <c r="P45" s="988"/>
      <c r="Q45" s="988"/>
      <c r="R45" s="988"/>
      <c r="S45" s="988"/>
      <c r="T45" s="988"/>
      <c r="U45" s="988"/>
      <c r="V45" s="988"/>
      <c r="W45" s="98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96" ht="17.45">
      <c r="A46" s="548" t="s">
        <v>108</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96" ht="13.15">
      <c r="A47" s="37" t="s">
        <v>109</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3.15">
      <c r="A48" s="823" t="s">
        <v>110</v>
      </c>
      <c r="B48" s="34">
        <v>15</v>
      </c>
      <c r="C48" s="714"/>
      <c r="D48" s="714"/>
      <c r="E48" s="714"/>
      <c r="F48" s="714"/>
      <c r="G48" s="714"/>
      <c r="H48" s="714"/>
      <c r="I48" s="714"/>
      <c r="J48" s="714"/>
      <c r="K48" s="714"/>
      <c r="L48" s="714"/>
      <c r="M48" s="714"/>
      <c r="N48" s="714"/>
      <c r="O48" s="714"/>
      <c r="P48" s="714"/>
      <c r="Q48" s="714"/>
      <c r="R48" s="715"/>
      <c r="S48" s="714"/>
      <c r="T48" s="715"/>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3.15">
      <c r="A49" s="824" t="s">
        <v>112</v>
      </c>
      <c r="B49" s="22" t="s">
        <v>142</v>
      </c>
      <c r="C49" s="830"/>
      <c r="D49" s="830"/>
      <c r="E49" s="830"/>
      <c r="F49" s="830"/>
      <c r="G49" s="830"/>
      <c r="H49" s="830"/>
      <c r="I49" s="830"/>
      <c r="J49" s="830"/>
      <c r="K49" s="830"/>
      <c r="L49" s="830"/>
      <c r="M49" s="830"/>
      <c r="N49" s="830"/>
      <c r="O49" s="830"/>
      <c r="P49" s="830"/>
      <c r="Q49" s="830"/>
      <c r="R49" s="830"/>
      <c r="S49" s="830"/>
      <c r="T49" s="830"/>
      <c r="U49" s="47">
        <f>C49+E49+G49+I49+K49+M49+O49+Q49+S49</f>
        <v>0</v>
      </c>
      <c r="V49" s="47">
        <f>D49+F49+H49+J49+L49+N49+P49+R49+T49</f>
        <v>0</v>
      </c>
      <c r="W49" s="44">
        <f>+V49+U49</f>
        <v>0</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9">
      <c r="A50" s="829" t="s">
        <v>143</v>
      </c>
      <c r="B50" s="822"/>
      <c r="C50" s="831"/>
      <c r="D50" s="831"/>
      <c r="E50" s="831"/>
      <c r="F50" s="831"/>
      <c r="G50" s="831"/>
      <c r="H50" s="831"/>
      <c r="I50" s="831"/>
      <c r="J50" s="831"/>
      <c r="K50" s="831"/>
      <c r="L50" s="831"/>
      <c r="M50" s="831"/>
      <c r="N50" s="831"/>
      <c r="O50" s="831"/>
      <c r="P50" s="831"/>
      <c r="Q50" s="831"/>
      <c r="R50" s="831"/>
      <c r="S50" s="831"/>
      <c r="T50" s="831"/>
      <c r="U50" s="821"/>
      <c r="V50" s="821"/>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3.15">
      <c r="A51" s="825" t="s">
        <v>115</v>
      </c>
      <c r="B51" s="22" t="s">
        <v>144</v>
      </c>
      <c r="C51" s="715"/>
      <c r="D51" s="715"/>
      <c r="E51" s="715"/>
      <c r="F51" s="715"/>
      <c r="G51" s="715"/>
      <c r="H51" s="715"/>
      <c r="I51" s="715"/>
      <c r="J51" s="715"/>
      <c r="K51" s="715"/>
      <c r="L51" s="715"/>
      <c r="M51" s="715"/>
      <c r="N51" s="715"/>
      <c r="O51" s="715"/>
      <c r="P51" s="715"/>
      <c r="Q51" s="715"/>
      <c r="R51" s="715"/>
      <c r="S51" s="715"/>
      <c r="T51" s="715"/>
      <c r="U51" s="47">
        <f t="shared" ref="U51:V56" si="5">C51+E51+G51+I51+K51+M51+O51+Q51+S51</f>
        <v>0</v>
      </c>
      <c r="V51" s="47">
        <f t="shared" si="5"/>
        <v>0</v>
      </c>
      <c r="W51" s="44">
        <f t="shared" ref="W51:W56" si="6">+V51+U51</f>
        <v>0</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3.15">
      <c r="A52" s="825" t="s">
        <v>117</v>
      </c>
      <c r="B52" s="22" t="s">
        <v>145</v>
      </c>
      <c r="C52" s="715"/>
      <c r="D52" s="715"/>
      <c r="E52" s="715"/>
      <c r="F52" s="715"/>
      <c r="G52" s="715"/>
      <c r="H52" s="715"/>
      <c r="I52" s="715"/>
      <c r="J52" s="715"/>
      <c r="K52" s="715"/>
      <c r="L52" s="715"/>
      <c r="M52" s="715"/>
      <c r="N52" s="715"/>
      <c r="O52" s="715"/>
      <c r="P52" s="715"/>
      <c r="Q52" s="715"/>
      <c r="R52" s="715"/>
      <c r="S52" s="715"/>
      <c r="T52" s="715"/>
      <c r="U52" s="47">
        <f t="shared" si="5"/>
        <v>0</v>
      </c>
      <c r="V52" s="47">
        <f t="shared" si="5"/>
        <v>0</v>
      </c>
      <c r="W52" s="44">
        <f t="shared" si="6"/>
        <v>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3.15">
      <c r="A53" s="825" t="s">
        <v>119</v>
      </c>
      <c r="B53" s="22" t="s">
        <v>146</v>
      </c>
      <c r="C53" s="715"/>
      <c r="D53" s="715"/>
      <c r="E53" s="715"/>
      <c r="F53" s="715"/>
      <c r="G53" s="715"/>
      <c r="H53" s="715"/>
      <c r="I53" s="715"/>
      <c r="J53" s="715"/>
      <c r="K53" s="715"/>
      <c r="L53" s="715"/>
      <c r="M53" s="715"/>
      <c r="N53" s="715"/>
      <c r="O53" s="715"/>
      <c r="P53" s="715"/>
      <c r="Q53" s="715"/>
      <c r="R53" s="715"/>
      <c r="S53" s="715"/>
      <c r="T53" s="715"/>
      <c r="U53" s="47">
        <f t="shared" si="5"/>
        <v>0</v>
      </c>
      <c r="V53" s="47">
        <f t="shared" si="5"/>
        <v>0</v>
      </c>
      <c r="W53" s="44">
        <f t="shared" si="6"/>
        <v>0</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3.15">
      <c r="A54" s="825" t="s">
        <v>121</v>
      </c>
      <c r="B54" s="22" t="s">
        <v>147</v>
      </c>
      <c r="C54" s="715"/>
      <c r="D54" s="715"/>
      <c r="E54" s="715"/>
      <c r="F54" s="715"/>
      <c r="G54" s="715"/>
      <c r="H54" s="715"/>
      <c r="I54" s="715"/>
      <c r="J54" s="715"/>
      <c r="K54" s="715"/>
      <c r="L54" s="715"/>
      <c r="M54" s="715"/>
      <c r="N54" s="715"/>
      <c r="O54" s="715"/>
      <c r="P54" s="715"/>
      <c r="Q54" s="715"/>
      <c r="R54" s="715"/>
      <c r="S54" s="715"/>
      <c r="T54" s="715"/>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45">
      <c r="A55" s="547" t="s">
        <v>123</v>
      </c>
      <c r="B55" s="22" t="s">
        <v>148</v>
      </c>
      <c r="C55" s="715"/>
      <c r="D55" s="715"/>
      <c r="E55" s="715"/>
      <c r="F55" s="715"/>
      <c r="G55" s="715"/>
      <c r="H55" s="715"/>
      <c r="I55" s="715"/>
      <c r="J55" s="715"/>
      <c r="K55" s="715"/>
      <c r="L55" s="715"/>
      <c r="M55" s="715"/>
      <c r="N55" s="715"/>
      <c r="O55" s="715"/>
      <c r="P55" s="715"/>
      <c r="Q55" s="715"/>
      <c r="R55" s="715"/>
      <c r="S55" s="715"/>
      <c r="T55" s="715"/>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50" t="s">
        <v>149</v>
      </c>
      <c r="B56" s="551" t="s">
        <v>150</v>
      </c>
      <c r="C56" s="560">
        <f t="shared" ref="C56:P56" si="7">SUM(C48:C55)</f>
        <v>0</v>
      </c>
      <c r="D56" s="560">
        <f t="shared" si="7"/>
        <v>0</v>
      </c>
      <c r="E56" s="560">
        <f t="shared" si="7"/>
        <v>0</v>
      </c>
      <c r="F56" s="560">
        <f t="shared" si="7"/>
        <v>0</v>
      </c>
      <c r="G56" s="560">
        <f t="shared" si="7"/>
        <v>0</v>
      </c>
      <c r="H56" s="560">
        <f t="shared" si="7"/>
        <v>0</v>
      </c>
      <c r="I56" s="560">
        <f t="shared" si="7"/>
        <v>0</v>
      </c>
      <c r="J56" s="560">
        <f t="shared" si="7"/>
        <v>0</v>
      </c>
      <c r="K56" s="560">
        <f t="shared" si="7"/>
        <v>0</v>
      </c>
      <c r="L56" s="560">
        <f t="shared" si="7"/>
        <v>0</v>
      </c>
      <c r="M56" s="560">
        <f t="shared" si="7"/>
        <v>0</v>
      </c>
      <c r="N56" s="560">
        <f t="shared" si="7"/>
        <v>0</v>
      </c>
      <c r="O56" s="560">
        <f t="shared" si="7"/>
        <v>0</v>
      </c>
      <c r="P56" s="560">
        <f t="shared" si="7"/>
        <v>0</v>
      </c>
      <c r="Q56" s="560">
        <f>SUM(Q48:Q55)</f>
        <v>0</v>
      </c>
      <c r="R56" s="560">
        <f>SUM(R48:R55)</f>
        <v>0</v>
      </c>
      <c r="S56" s="560">
        <f>SUM(S48:S55)</f>
        <v>0</v>
      </c>
      <c r="T56" s="560">
        <f>SUM(T48:T55)</f>
        <v>0</v>
      </c>
      <c r="U56" s="552">
        <f t="shared" si="5"/>
        <v>0</v>
      </c>
      <c r="V56" s="552">
        <f t="shared" si="5"/>
        <v>0</v>
      </c>
      <c r="W56" s="553">
        <f t="shared" si="6"/>
        <v>0</v>
      </c>
      <c r="X56" s="608"/>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96" ht="21.75" hidden="1" customHeight="1" thickTop="1">
      <c r="A57" s="548" t="s">
        <v>127</v>
      </c>
      <c r="B57" s="239"/>
      <c r="C57" s="549"/>
      <c r="D57" s="549"/>
      <c r="E57" s="549"/>
      <c r="F57" s="549"/>
      <c r="G57" s="549"/>
      <c r="H57" s="549"/>
      <c r="I57" s="549"/>
      <c r="J57" s="549"/>
      <c r="K57" s="549"/>
      <c r="L57" s="549"/>
      <c r="M57" s="549"/>
      <c r="N57" s="549"/>
      <c r="O57" s="549"/>
      <c r="P57" s="549"/>
      <c r="Q57" s="549"/>
      <c r="R57" s="549"/>
      <c r="S57" s="549"/>
      <c r="T57" s="549"/>
      <c r="U57" s="371"/>
      <c r="V57" s="371"/>
      <c r="W57" s="484"/>
      <c r="X57" s="609"/>
    </row>
    <row r="58" spans="1:96" s="17" customFormat="1" ht="13.15" hidden="1">
      <c r="A58" s="38" t="s">
        <v>128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9" hidden="1" thickBot="1">
      <c r="A59" s="604" t="s">
        <v>130</v>
      </c>
      <c r="B59" s="605">
        <v>24</v>
      </c>
      <c r="C59" s="610"/>
      <c r="D59" s="611"/>
      <c r="E59" s="610"/>
      <c r="F59" s="611"/>
      <c r="G59" s="610"/>
      <c r="H59" s="611"/>
      <c r="I59" s="610"/>
      <c r="J59" s="611"/>
      <c r="K59" s="610"/>
      <c r="L59" s="611"/>
      <c r="M59" s="610"/>
      <c r="N59" s="611"/>
      <c r="O59" s="610"/>
      <c r="P59" s="611"/>
      <c r="Q59" s="611"/>
      <c r="R59" s="611"/>
      <c r="S59" s="611"/>
      <c r="T59" s="611"/>
      <c r="U59" s="297">
        <f>C59+E59+G59+I59+K59+M59+O59</f>
        <v>0</v>
      </c>
      <c r="V59" s="297">
        <f>D59+F59+H59+J59+L59+N59+P59</f>
        <v>0</v>
      </c>
      <c r="W59" s="297">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96" ht="18" thickTop="1">
      <c r="A60" s="548" t="s">
        <v>132</v>
      </c>
      <c r="B60" s="239"/>
      <c r="C60" s="549"/>
      <c r="D60" s="549"/>
      <c r="E60" s="549"/>
      <c r="F60" s="549"/>
      <c r="G60" s="549"/>
      <c r="H60" s="549"/>
      <c r="I60" s="549"/>
      <c r="J60" s="549"/>
      <c r="K60" s="549"/>
      <c r="L60" s="549"/>
      <c r="M60" s="549"/>
      <c r="N60" s="549"/>
      <c r="O60" s="549"/>
      <c r="P60" s="549"/>
      <c r="Q60" s="549"/>
      <c r="R60" s="549"/>
      <c r="S60" s="549"/>
      <c r="T60" s="549"/>
      <c r="U60" s="371"/>
      <c r="V60" s="371"/>
      <c r="W60" s="485"/>
    </row>
    <row r="61" spans="1:96" ht="13.15">
      <c r="A61" s="37" t="s">
        <v>133</v>
      </c>
      <c r="B61" s="242" t="s">
        <v>61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3.15">
      <c r="A62" s="538" t="s">
        <v>134</v>
      </c>
      <c r="B62" s="22" t="s">
        <v>151</v>
      </c>
      <c r="C62" s="40"/>
      <c r="D62" s="41"/>
      <c r="E62" s="40"/>
      <c r="F62" s="41"/>
      <c r="G62" s="40"/>
      <c r="H62" s="41"/>
      <c r="I62" s="40"/>
      <c r="J62" s="41"/>
      <c r="K62" s="40"/>
      <c r="L62" s="41"/>
      <c r="M62" s="40"/>
      <c r="N62" s="41"/>
      <c r="O62" s="40"/>
      <c r="P62" s="41"/>
      <c r="Q62" s="40"/>
      <c r="R62" s="46"/>
      <c r="S62" s="40"/>
      <c r="T62" s="46"/>
      <c r="U62" s="47">
        <f t="shared" ref="U62:V65" si="8">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3.15">
      <c r="A63" s="538" t="s">
        <v>136</v>
      </c>
      <c r="B63" s="34" t="s">
        <v>152</v>
      </c>
      <c r="C63" s="40"/>
      <c r="D63" s="41"/>
      <c r="E63" s="40"/>
      <c r="F63" s="41"/>
      <c r="G63" s="40"/>
      <c r="H63" s="41"/>
      <c r="I63" s="40"/>
      <c r="J63" s="41"/>
      <c r="K63" s="40"/>
      <c r="L63" s="41"/>
      <c r="M63" s="40"/>
      <c r="N63" s="41"/>
      <c r="O63" s="40"/>
      <c r="P63" s="41"/>
      <c r="Q63" s="40"/>
      <c r="R63" s="46"/>
      <c r="S63" s="40"/>
      <c r="T63" s="46"/>
      <c r="U63" s="47">
        <f t="shared" si="8"/>
        <v>0</v>
      </c>
      <c r="V63" s="47">
        <f t="shared" si="8"/>
        <v>0</v>
      </c>
      <c r="W63" s="44">
        <f>+V63+U63</f>
        <v>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45">
      <c r="A64" s="547" t="s">
        <v>137</v>
      </c>
      <c r="B64" s="22" t="s">
        <v>153</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7" t="s">
        <v>154</v>
      </c>
      <c r="B65" s="35" t="s">
        <v>155</v>
      </c>
      <c r="C65" s="47">
        <f t="shared" ref="C65:P65" si="9">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0</v>
      </c>
      <c r="M65" s="47">
        <f t="shared" si="9"/>
        <v>0</v>
      </c>
      <c r="N65" s="47">
        <f t="shared" si="9"/>
        <v>0</v>
      </c>
      <c r="O65" s="47">
        <f t="shared" si="9"/>
        <v>0</v>
      </c>
      <c r="P65" s="47">
        <f t="shared" si="9"/>
        <v>0</v>
      </c>
      <c r="Q65" s="47">
        <f>SUM(Q62:Q64)</f>
        <v>0</v>
      </c>
      <c r="R65" s="47">
        <f>SUM(R62:R64)</f>
        <v>0</v>
      </c>
      <c r="S65" s="47">
        <f>SUM(S62:S64)</f>
        <v>0</v>
      </c>
      <c r="T65" s="47">
        <f>SUM(T62:T64)</f>
        <v>0</v>
      </c>
      <c r="U65" s="552">
        <f t="shared" si="8"/>
        <v>0</v>
      </c>
      <c r="V65" s="552">
        <f t="shared" si="8"/>
        <v>0</v>
      </c>
      <c r="W65" s="51">
        <f>U65+V65</f>
        <v>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96" s="29" customFormat="1" ht="32.25" customHeight="1" thickTop="1">
      <c r="A66" s="554" t="s">
        <v>156</v>
      </c>
      <c r="B66" s="555" t="s">
        <v>157</v>
      </c>
      <c r="C66" s="556">
        <f t="shared" ref="C66:V66" si="10">C65+C56+C35+C26</f>
        <v>0</v>
      </c>
      <c r="D66" s="556">
        <f t="shared" si="10"/>
        <v>0</v>
      </c>
      <c r="E66" s="556">
        <f t="shared" si="10"/>
        <v>0</v>
      </c>
      <c r="F66" s="556">
        <f t="shared" si="10"/>
        <v>0</v>
      </c>
      <c r="G66" s="556">
        <f t="shared" si="10"/>
        <v>0</v>
      </c>
      <c r="H66" s="556">
        <f t="shared" si="10"/>
        <v>0</v>
      </c>
      <c r="I66" s="556">
        <f t="shared" si="10"/>
        <v>0</v>
      </c>
      <c r="J66" s="556">
        <f t="shared" si="10"/>
        <v>0</v>
      </c>
      <c r="K66" s="556">
        <f t="shared" si="10"/>
        <v>0</v>
      </c>
      <c r="L66" s="556">
        <f t="shared" si="10"/>
        <v>0</v>
      </c>
      <c r="M66" s="556">
        <f t="shared" si="10"/>
        <v>0</v>
      </c>
      <c r="N66" s="556">
        <f t="shared" si="10"/>
        <v>0</v>
      </c>
      <c r="O66" s="556">
        <f t="shared" si="10"/>
        <v>0</v>
      </c>
      <c r="P66" s="556">
        <f t="shared" si="10"/>
        <v>0</v>
      </c>
      <c r="Q66" s="556">
        <f>Q65+Q56+Q35+Q26</f>
        <v>0</v>
      </c>
      <c r="R66" s="556">
        <f>R65+R56+R35+R26</f>
        <v>0</v>
      </c>
      <c r="S66" s="556">
        <f>S65+S56+S35+S26</f>
        <v>0</v>
      </c>
      <c r="T66" s="556">
        <f>T65+T56+T35+T26</f>
        <v>0</v>
      </c>
      <c r="U66" s="556">
        <f t="shared" si="10"/>
        <v>0</v>
      </c>
      <c r="V66" s="556">
        <f t="shared" si="10"/>
        <v>0</v>
      </c>
      <c r="W66" s="557">
        <f>U66+V66</f>
        <v>0</v>
      </c>
      <c r="X66" s="39"/>
    </row>
    <row r="67" spans="1:96" ht="24.75" customHeight="1"/>
    <row r="68" spans="1:96" ht="15.6">
      <c r="A68"/>
      <c r="B68"/>
      <c r="C68"/>
      <c r="D68"/>
      <c r="E68"/>
      <c r="F68"/>
      <c r="G68"/>
      <c r="H68"/>
      <c r="I68"/>
      <c r="J68"/>
      <c r="K68"/>
      <c r="L68"/>
      <c r="M68"/>
      <c r="N68"/>
      <c r="O68"/>
      <c r="P68"/>
      <c r="Q68"/>
      <c r="R68"/>
      <c r="S68"/>
      <c r="T68"/>
      <c r="U68"/>
      <c r="V68"/>
      <c r="W68"/>
    </row>
    <row r="69" spans="1:96" ht="15.6">
      <c r="A69"/>
      <c r="B69"/>
      <c r="C69"/>
      <c r="D69"/>
      <c r="E69"/>
      <c r="F69"/>
      <c r="G69"/>
      <c r="H69"/>
      <c r="I69"/>
      <c r="J69"/>
      <c r="K69"/>
      <c r="L69"/>
      <c r="M69"/>
      <c r="N69"/>
      <c r="O69"/>
      <c r="P69"/>
      <c r="Q69"/>
      <c r="R69"/>
      <c r="S69"/>
      <c r="T69"/>
      <c r="U69"/>
      <c r="V69"/>
      <c r="W69"/>
    </row>
    <row r="70" spans="1:96" ht="15.6">
      <c r="A70"/>
      <c r="B70"/>
      <c r="C70"/>
      <c r="D70"/>
      <c r="E70"/>
      <c r="F70"/>
      <c r="G70"/>
      <c r="H70"/>
      <c r="I70"/>
      <c r="J70"/>
      <c r="K70"/>
      <c r="L70"/>
      <c r="M70"/>
      <c r="N70"/>
      <c r="O70"/>
      <c r="P70"/>
      <c r="Q70"/>
      <c r="R70"/>
      <c r="S70"/>
      <c r="T70"/>
      <c r="U70"/>
      <c r="V70"/>
      <c r="W70"/>
    </row>
    <row r="71" spans="1:96" ht="15.6">
      <c r="A71"/>
      <c r="B71"/>
      <c r="C71"/>
      <c r="D71"/>
      <c r="E71"/>
      <c r="F71"/>
      <c r="G71"/>
      <c r="H71"/>
      <c r="I71"/>
      <c r="J71"/>
      <c r="K71"/>
      <c r="L71"/>
      <c r="M71"/>
      <c r="N71"/>
      <c r="O71"/>
      <c r="P71"/>
      <c r="Q71"/>
      <c r="R71"/>
      <c r="S71"/>
      <c r="T71"/>
      <c r="U71"/>
      <c r="V71"/>
      <c r="W71"/>
    </row>
    <row r="72" spans="1:96" ht="15.6">
      <c r="A72"/>
      <c r="B72"/>
      <c r="C72"/>
      <c r="D72"/>
      <c r="E72"/>
      <c r="F72"/>
      <c r="G72"/>
      <c r="H72"/>
      <c r="I72"/>
      <c r="J72"/>
      <c r="K72"/>
      <c r="L72"/>
      <c r="M72"/>
      <c r="N72"/>
      <c r="O72"/>
      <c r="P72"/>
      <c r="Q72"/>
      <c r="R72"/>
      <c r="S72"/>
      <c r="T72"/>
      <c r="U72"/>
      <c r="V72"/>
      <c r="W72"/>
    </row>
    <row r="73" spans="1:96" ht="15.6">
      <c r="A73"/>
      <c r="B73"/>
      <c r="C73"/>
      <c r="D73"/>
      <c r="E73"/>
      <c r="F73"/>
      <c r="G73"/>
      <c r="H73"/>
      <c r="I73"/>
      <c r="J73"/>
      <c r="K73"/>
      <c r="L73"/>
      <c r="M73"/>
      <c r="N73"/>
      <c r="O73"/>
      <c r="P73"/>
      <c r="Q73"/>
      <c r="R73"/>
      <c r="S73"/>
      <c r="T73"/>
      <c r="U73"/>
      <c r="V73"/>
      <c r="W73"/>
    </row>
    <row r="74" spans="1:96" ht="15.6">
      <c r="A74"/>
      <c r="B74"/>
      <c r="C74"/>
      <c r="D74"/>
      <c r="E74"/>
      <c r="F74"/>
      <c r="G74"/>
      <c r="H74"/>
      <c r="I74"/>
      <c r="J74"/>
      <c r="K74"/>
      <c r="L74"/>
      <c r="M74"/>
      <c r="N74"/>
      <c r="O74"/>
      <c r="P74"/>
      <c r="Q74"/>
      <c r="R74"/>
      <c r="S74"/>
      <c r="T74"/>
      <c r="U74"/>
      <c r="V74"/>
      <c r="W74"/>
    </row>
    <row r="75" spans="1:96" ht="15.6">
      <c r="A75"/>
      <c r="B75"/>
      <c r="C75"/>
      <c r="D75"/>
      <c r="E75"/>
      <c r="F75"/>
      <c r="G75"/>
      <c r="H75"/>
      <c r="I75"/>
      <c r="J75"/>
      <c r="K75"/>
      <c r="L75"/>
      <c r="M75"/>
      <c r="N75"/>
      <c r="O75"/>
      <c r="P75"/>
      <c r="Q75"/>
      <c r="R75"/>
      <c r="S75"/>
      <c r="T75"/>
      <c r="U75"/>
      <c r="V75"/>
      <c r="W75"/>
    </row>
    <row r="76" spans="1:96" ht="15.6">
      <c r="A76"/>
      <c r="B76"/>
      <c r="C76"/>
      <c r="D76"/>
      <c r="E76"/>
      <c r="F76"/>
      <c r="G76"/>
      <c r="H76"/>
      <c r="I76"/>
      <c r="J76"/>
      <c r="K76"/>
      <c r="L76"/>
      <c r="M76"/>
      <c r="N76"/>
      <c r="O76"/>
      <c r="P76"/>
      <c r="Q76"/>
      <c r="R76"/>
      <c r="S76"/>
      <c r="T76"/>
      <c r="U76"/>
      <c r="V76"/>
      <c r="W76"/>
    </row>
    <row r="77" spans="1:96" ht="15.6">
      <c r="A77"/>
      <c r="B77"/>
      <c r="C77"/>
      <c r="D77"/>
      <c r="E77"/>
      <c r="F77"/>
      <c r="G77"/>
      <c r="H77"/>
      <c r="I77"/>
      <c r="J77"/>
      <c r="K77"/>
      <c r="L77"/>
      <c r="M77"/>
      <c r="N77"/>
      <c r="O77"/>
      <c r="P77"/>
      <c r="Q77"/>
      <c r="R77"/>
      <c r="S77"/>
      <c r="T77"/>
      <c r="U77"/>
      <c r="V77"/>
      <c r="W77"/>
    </row>
    <row r="78" spans="1:96" ht="15.6">
      <c r="A78"/>
      <c r="B78"/>
      <c r="C78"/>
      <c r="D78"/>
      <c r="E78"/>
      <c r="F78"/>
      <c r="G78"/>
      <c r="H78"/>
      <c r="I78"/>
      <c r="J78"/>
      <c r="K78"/>
      <c r="L78"/>
      <c r="M78"/>
      <c r="N78"/>
      <c r="O78"/>
      <c r="P78"/>
      <c r="Q78"/>
      <c r="R78"/>
      <c r="S78"/>
      <c r="T78"/>
      <c r="U78"/>
      <c r="V78"/>
      <c r="W78"/>
    </row>
    <row r="79" spans="1:96" ht="15.6">
      <c r="A79"/>
      <c r="B79"/>
      <c r="C79"/>
      <c r="D79"/>
      <c r="E79"/>
      <c r="F79"/>
      <c r="G79"/>
      <c r="H79"/>
      <c r="I79"/>
      <c r="J79"/>
      <c r="K79"/>
      <c r="L79"/>
      <c r="M79"/>
      <c r="N79"/>
      <c r="O79"/>
      <c r="P79"/>
      <c r="Q79"/>
      <c r="R79"/>
      <c r="S79"/>
      <c r="T79"/>
      <c r="U79"/>
      <c r="V79"/>
      <c r="W79"/>
    </row>
    <row r="80" spans="1:96" ht="15.6">
      <c r="A80"/>
      <c r="B80"/>
      <c r="C80"/>
      <c r="D80"/>
      <c r="E80"/>
      <c r="F80"/>
      <c r="G80"/>
      <c r="H80"/>
      <c r="I80"/>
      <c r="J80"/>
      <c r="K80"/>
      <c r="L80"/>
      <c r="M80"/>
      <c r="N80"/>
      <c r="O80"/>
      <c r="P80"/>
      <c r="Q80"/>
      <c r="R80"/>
      <c r="S80"/>
      <c r="T80"/>
      <c r="U80"/>
      <c r="V80"/>
      <c r="W80"/>
    </row>
    <row r="81" spans="1:23" ht="15.6">
      <c r="A81"/>
      <c r="B81"/>
      <c r="C81"/>
      <c r="D81"/>
      <c r="E81"/>
      <c r="F81"/>
      <c r="G81"/>
      <c r="H81"/>
      <c r="I81"/>
      <c r="J81"/>
      <c r="K81"/>
      <c r="L81"/>
      <c r="M81"/>
      <c r="N81"/>
      <c r="O81"/>
      <c r="P81"/>
      <c r="Q81"/>
      <c r="R81"/>
      <c r="S81"/>
      <c r="T81"/>
      <c r="U81"/>
      <c r="V81"/>
      <c r="W81"/>
    </row>
    <row r="82" spans="1:23" ht="15.6">
      <c r="A82"/>
      <c r="B82"/>
      <c r="C82"/>
      <c r="D82"/>
      <c r="E82"/>
      <c r="F82"/>
      <c r="G82"/>
      <c r="H82"/>
      <c r="I82"/>
      <c r="J82"/>
      <c r="K82"/>
      <c r="L82"/>
      <c r="M82"/>
      <c r="N82"/>
      <c r="O82"/>
      <c r="P82"/>
      <c r="Q82"/>
      <c r="R82"/>
      <c r="S82"/>
      <c r="T82"/>
      <c r="U82"/>
      <c r="V82"/>
      <c r="W82"/>
    </row>
    <row r="83" spans="1:23" ht="15.6">
      <c r="A83"/>
      <c r="B83"/>
      <c r="C83"/>
      <c r="D83"/>
      <c r="E83"/>
      <c r="F83"/>
      <c r="G83"/>
      <c r="H83"/>
      <c r="I83"/>
      <c r="J83"/>
      <c r="K83"/>
      <c r="L83"/>
      <c r="M83"/>
      <c r="N83"/>
      <c r="O83"/>
      <c r="P83"/>
      <c r="Q83"/>
      <c r="R83"/>
      <c r="S83"/>
      <c r="T83"/>
      <c r="U83"/>
      <c r="V83"/>
      <c r="W83"/>
    </row>
    <row r="84" spans="1:23" ht="15.6">
      <c r="A84"/>
      <c r="B84"/>
      <c r="C84"/>
      <c r="D84"/>
      <c r="E84"/>
      <c r="F84"/>
      <c r="G84"/>
      <c r="H84"/>
      <c r="I84"/>
      <c r="J84"/>
      <c r="K84"/>
      <c r="L84"/>
      <c r="M84"/>
      <c r="N84"/>
      <c r="O84"/>
      <c r="P84"/>
      <c r="Q84"/>
      <c r="R84"/>
      <c r="S84"/>
      <c r="T84"/>
      <c r="U84"/>
      <c r="V84"/>
      <c r="W84"/>
    </row>
    <row r="85" spans="1:23" ht="15.6">
      <c r="A85"/>
      <c r="B85"/>
      <c r="C85"/>
      <c r="D85"/>
      <c r="E85"/>
      <c r="F85"/>
      <c r="G85"/>
      <c r="H85"/>
      <c r="I85"/>
      <c r="J85"/>
      <c r="K85"/>
      <c r="L85"/>
      <c r="M85"/>
      <c r="N85"/>
      <c r="O85"/>
      <c r="P85"/>
      <c r="Q85"/>
      <c r="R85"/>
      <c r="S85"/>
      <c r="T85"/>
      <c r="U85"/>
      <c r="V85"/>
      <c r="W85"/>
    </row>
    <row r="86" spans="1:23" ht="15.6">
      <c r="A86"/>
      <c r="B86"/>
      <c r="C86"/>
      <c r="D86"/>
      <c r="E86"/>
      <c r="F86"/>
      <c r="G86"/>
      <c r="H86"/>
      <c r="I86"/>
      <c r="J86"/>
      <c r="K86"/>
      <c r="L86"/>
      <c r="M86"/>
      <c r="N86"/>
      <c r="O86"/>
      <c r="P86"/>
      <c r="Q86"/>
      <c r="R86"/>
      <c r="S86"/>
      <c r="T86"/>
      <c r="U86"/>
      <c r="V86"/>
      <c r="W86"/>
    </row>
    <row r="87" spans="1:23" ht="15.6">
      <c r="A87"/>
      <c r="B87"/>
      <c r="C87"/>
      <c r="D87"/>
      <c r="E87"/>
      <c r="F87"/>
      <c r="G87"/>
      <c r="H87"/>
      <c r="I87"/>
      <c r="J87"/>
      <c r="K87"/>
      <c r="L87"/>
      <c r="M87"/>
      <c r="N87"/>
      <c r="O87"/>
      <c r="P87"/>
      <c r="Q87"/>
      <c r="R87"/>
      <c r="S87"/>
      <c r="T87"/>
      <c r="U87"/>
      <c r="V87"/>
      <c r="W87"/>
    </row>
    <row r="88" spans="1:23" ht="15.6">
      <c r="A88"/>
      <c r="B88"/>
      <c r="C88"/>
      <c r="D88"/>
      <c r="E88"/>
      <c r="F88"/>
      <c r="G88"/>
      <c r="H88"/>
      <c r="I88"/>
      <c r="J88"/>
      <c r="K88"/>
      <c r="L88"/>
      <c r="M88"/>
      <c r="N88"/>
      <c r="O88"/>
      <c r="P88"/>
      <c r="Q88"/>
      <c r="R88"/>
      <c r="S88"/>
      <c r="T88"/>
      <c r="U88"/>
      <c r="V88"/>
      <c r="W88"/>
    </row>
    <row r="89" spans="1:23" ht="15.6">
      <c r="A89"/>
      <c r="B89"/>
      <c r="C89"/>
      <c r="D89"/>
      <c r="E89"/>
      <c r="F89"/>
      <c r="G89"/>
      <c r="H89"/>
      <c r="I89"/>
      <c r="J89"/>
      <c r="K89"/>
      <c r="L89"/>
      <c r="M89"/>
      <c r="N89"/>
      <c r="O89"/>
      <c r="P89"/>
      <c r="Q89"/>
      <c r="R89"/>
      <c r="S89"/>
      <c r="T89"/>
      <c r="U89"/>
      <c r="V89"/>
      <c r="W89"/>
    </row>
    <row r="90" spans="1:23" ht="15.6">
      <c r="A90"/>
      <c r="B90"/>
      <c r="C90"/>
      <c r="D90"/>
      <c r="E90"/>
      <c r="F90"/>
      <c r="G90"/>
      <c r="H90"/>
      <c r="I90"/>
      <c r="J90"/>
      <c r="K90"/>
      <c r="L90"/>
      <c r="M90"/>
      <c r="N90"/>
      <c r="O90"/>
      <c r="P90"/>
      <c r="Q90"/>
      <c r="R90"/>
      <c r="S90"/>
      <c r="T90"/>
      <c r="U90"/>
      <c r="V90"/>
      <c r="W90"/>
    </row>
    <row r="91" spans="1:23" ht="15.6">
      <c r="A91"/>
      <c r="B91"/>
      <c r="C91"/>
      <c r="D91"/>
      <c r="E91"/>
      <c r="F91"/>
      <c r="G91"/>
      <c r="H91"/>
      <c r="I91"/>
      <c r="J91"/>
      <c r="K91"/>
      <c r="L91"/>
      <c r="M91"/>
      <c r="N91"/>
      <c r="O91"/>
      <c r="P91"/>
      <c r="Q91"/>
      <c r="R91"/>
      <c r="S91"/>
      <c r="T91"/>
      <c r="U91"/>
      <c r="V91"/>
      <c r="W91"/>
    </row>
    <row r="92" spans="1:23" ht="15.6">
      <c r="A92"/>
      <c r="B92"/>
      <c r="C92"/>
      <c r="D92"/>
      <c r="E92"/>
      <c r="F92"/>
      <c r="G92"/>
      <c r="H92"/>
      <c r="I92"/>
      <c r="J92"/>
      <c r="K92"/>
      <c r="L92"/>
      <c r="M92"/>
      <c r="N92"/>
      <c r="O92"/>
      <c r="P92"/>
      <c r="Q92"/>
      <c r="R92"/>
      <c r="S92"/>
      <c r="T92"/>
      <c r="U92"/>
      <c r="V92"/>
      <c r="W92"/>
    </row>
    <row r="93" spans="1:23" ht="15.6">
      <c r="A93"/>
      <c r="B93"/>
      <c r="C93"/>
      <c r="D93"/>
      <c r="E93"/>
      <c r="F93"/>
      <c r="G93"/>
      <c r="H93"/>
      <c r="I93"/>
      <c r="J93"/>
      <c r="K93"/>
      <c r="L93"/>
      <c r="M93"/>
      <c r="N93"/>
      <c r="O93"/>
      <c r="P93"/>
      <c r="Q93"/>
      <c r="R93"/>
      <c r="S93"/>
      <c r="T93"/>
      <c r="U93"/>
      <c r="V93"/>
      <c r="W93"/>
    </row>
    <row r="94" spans="1:23" ht="15.6">
      <c r="A94"/>
      <c r="B94"/>
      <c r="C94"/>
      <c r="D94"/>
      <c r="E94"/>
      <c r="F94"/>
      <c r="G94"/>
      <c r="H94"/>
      <c r="I94"/>
      <c r="J94"/>
      <c r="K94"/>
      <c r="L94"/>
      <c r="M94"/>
      <c r="N94"/>
      <c r="O94"/>
      <c r="P94"/>
      <c r="Q94"/>
      <c r="R94"/>
      <c r="S94"/>
      <c r="T94"/>
      <c r="U94"/>
      <c r="V94"/>
      <c r="W94"/>
    </row>
  </sheetData>
  <mergeCells count="61">
    <mergeCell ref="C42:D42"/>
    <mergeCell ref="E42:F42"/>
    <mergeCell ref="G42:H42"/>
    <mergeCell ref="I42:J42"/>
    <mergeCell ref="S42:T42"/>
    <mergeCell ref="K42:L42"/>
    <mergeCell ref="M42:N42"/>
    <mergeCell ref="O42:P42"/>
    <mergeCell ref="Q42:R42"/>
    <mergeCell ref="M40:N40"/>
    <mergeCell ref="O40:P40"/>
    <mergeCell ref="Q40:R40"/>
    <mergeCell ref="S40:T40"/>
    <mergeCell ref="C41:D41"/>
    <mergeCell ref="E41:F41"/>
    <mergeCell ref="G41:H41"/>
    <mergeCell ref="I41:J41"/>
    <mergeCell ref="K41:L41"/>
    <mergeCell ref="M41:N41"/>
    <mergeCell ref="O41:P41"/>
    <mergeCell ref="Q41:R41"/>
    <mergeCell ref="S41:T41"/>
    <mergeCell ref="C40:D40"/>
    <mergeCell ref="E40:F40"/>
    <mergeCell ref="G40:H40"/>
    <mergeCell ref="I40:J40"/>
    <mergeCell ref="K40:L40"/>
    <mergeCell ref="M11:N11"/>
    <mergeCell ref="O11:P11"/>
    <mergeCell ref="Q11:R11"/>
    <mergeCell ref="S11:T11"/>
    <mergeCell ref="C12:D12"/>
    <mergeCell ref="E12:F12"/>
    <mergeCell ref="G12:H12"/>
    <mergeCell ref="I12:J12"/>
    <mergeCell ref="K12:L12"/>
    <mergeCell ref="M12:N12"/>
    <mergeCell ref="O12:P12"/>
    <mergeCell ref="Q12:R12"/>
    <mergeCell ref="S12:T12"/>
    <mergeCell ref="C11:D11"/>
    <mergeCell ref="E11:F11"/>
    <mergeCell ref="G11:H11"/>
    <mergeCell ref="I11:J11"/>
    <mergeCell ref="K11:L1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s>
  <phoneticPr fontId="54" type="noConversion"/>
  <pageMargins left="0.47" right="0.35" top="0.48" bottom="0.38" header="0" footer="0.25"/>
  <pageSetup scale="94" fitToHeight="2" orientation="landscape" horizontalDpi="4294967292" verticalDpi="300" r:id="rId1"/>
  <headerFooter alignWithMargins="0">
    <oddFooter>Page &amp;P of &amp;N</oddFooter>
  </headerFooter>
  <rowBreaks count="1" manualBreakCount="1">
    <brk id="35"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2F69A2A716EC4B99C9E3F8E1FF17FD" ma:contentTypeVersion="4" ma:contentTypeDescription="Create a new document." ma:contentTypeScope="" ma:versionID="43c15add35678ae1530cd48e027b254d">
  <xsd:schema xmlns:xsd="http://www.w3.org/2001/XMLSchema" xmlns:xs="http://www.w3.org/2001/XMLSchema" xmlns:p="http://schemas.microsoft.com/office/2006/metadata/properties" xmlns:ns2="35b41bc8-0708-4014-8ee0-505ca0917cbf" targetNamespace="http://schemas.microsoft.com/office/2006/metadata/properties" ma:root="true" ma:fieldsID="04641cdcb4a0cbced6d4290d056bbef4" ns2:_="">
    <xsd:import namespace="35b41bc8-0708-4014-8ee0-505ca0917c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b41bc8-0708-4014-8ee0-505ca0917c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67D9FB-F4AC-4757-8E82-4377C0307391}"/>
</file>

<file path=customXml/itemProps2.xml><?xml version="1.0" encoding="utf-8"?>
<ds:datastoreItem xmlns:ds="http://schemas.openxmlformats.org/officeDocument/2006/customXml" ds:itemID="{474214F7-B104-444F-91B5-8BA669B113F2}"/>
</file>

<file path=customXml/itemProps3.xml><?xml version="1.0" encoding="utf-8"?>
<ds:datastoreItem xmlns:ds="http://schemas.openxmlformats.org/officeDocument/2006/customXml" ds:itemID="{A66E00A5-0F94-4979-AF08-67E1386055E8}"/>
</file>

<file path=docProps/app.xml><?xml version="1.0" encoding="utf-8"?>
<Properties xmlns="http://schemas.openxmlformats.org/officeDocument/2006/extended-properties" xmlns:vt="http://schemas.openxmlformats.org/officeDocument/2006/docPropsVTypes">
  <Application>Microsoft Excel Online</Application>
  <Manager/>
  <Company>DoHE, State of Connecticut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Pothier</dc:creator>
  <cp:keywords/>
  <dc:description/>
  <cp:lastModifiedBy>Jerry Wilcox</cp:lastModifiedBy>
  <cp:revision/>
  <dcterms:created xsi:type="dcterms:W3CDTF">1997-08-21T14:36:52Z</dcterms:created>
  <dcterms:modified xsi:type="dcterms:W3CDTF">2021-11-30T16:41:39Z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0x010100732F69A2A716EC4B99C9E3F8E1FF17FD</vt:lpwstr>
  </property>
</Properties>
</file>